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년도\3. 2026년 도로안전운영과\공사 및 용역\2026년 국도 침하 취약구간 GPR 탐사\"/>
    </mc:Choice>
  </mc:AlternateContent>
  <bookViews>
    <workbookView xWindow="28680" yWindow="-1080" windowWidth="29040" windowHeight="15720" tabRatio="819" activeTab="3"/>
  </bookViews>
  <sheets>
    <sheet name="총괄표지" sheetId="1" r:id="rId1"/>
    <sheet name="과업설명서" sheetId="2" r:id="rId2"/>
    <sheet name="총괄내역서" sheetId="21" r:id="rId3"/>
    <sheet name="내역서" sheetId="3" r:id="rId4"/>
    <sheet name="일위대가목록표" sheetId="18" state="hidden" r:id="rId5"/>
    <sheet name="일위대가표" sheetId="4" state="hidden" r:id="rId6"/>
    <sheet name="산출근거" sheetId="5" state="hidden" r:id="rId7"/>
    <sheet name="재료비" sheetId="12" state="hidden" r:id="rId8"/>
    <sheet name="기계경비1" sheetId="13" state="hidden" r:id="rId9"/>
    <sheet name="기계경비2" sheetId="23" state="hidden" r:id="rId10"/>
    <sheet name="지반조사품셈" sheetId="16" state="hidden" r:id="rId11"/>
    <sheet name="성과품" sheetId="8" state="hidden" r:id="rId12"/>
    <sheet name="노임단가" sheetId="6" state="hidden" r:id="rId13"/>
    <sheet name="엔지니어링임금실태조사표" sheetId="7" state="hidden" r:id="rId14"/>
    <sheet name="손해배상공제료_계약" sheetId="27" state="hidden" r:id="rId15"/>
    <sheet name="손해배상공제료" sheetId="10" state="hidden" r:id="rId16"/>
    <sheet name="견적" sheetId="20" state="hidden" r:id="rId17"/>
  </sheets>
  <definedNames>
    <definedName name="_xlnm.Print_Area" localSheetId="16">견적!$A$1:$N$70</definedName>
    <definedName name="_xlnm.Print_Area" localSheetId="9">기계경비2!$B$1:$AD$9</definedName>
    <definedName name="_xlnm.Print_Area" localSheetId="3">내역서!$A$1:$N$39</definedName>
    <definedName name="_xlnm.Print_Area" localSheetId="12">노임단가!$A$1:$G$15</definedName>
    <definedName name="_xlnm.Print_Area" localSheetId="6">산출근거!$A$1:$L$85</definedName>
    <definedName name="_xlnm.Print_Area" localSheetId="13">엔지니어링임금실태조사표!$A$1:$H$24</definedName>
    <definedName name="_xlnm.Print_Area" localSheetId="4">일위대가목록표!$A$1:$G$30</definedName>
    <definedName name="_xlnm.Print_Area" localSheetId="7">재료비!$A$1:$H$12</definedName>
    <definedName name="_xlnm.Print_Area" localSheetId="10">지반조사품셈!$A$1:$L$57</definedName>
    <definedName name="_xlnm.Print_Area" localSheetId="0">총괄표지!$A$1:$M$20</definedName>
    <definedName name="_xlnm.Print_Titles" localSheetId="9">기계경비2!$1:$3</definedName>
    <definedName name="_xlnm.Print_Titles" localSheetId="5">일위대가표!$1:$5</definedName>
    <definedName name="_xlnm.Print_Titles" localSheetId="10">지반조사품셈!$1:$5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Q31" i="3"/>
  <c r="R31" i="3"/>
  <c r="Q41" i="3"/>
  <c r="H19" i="5" l="1"/>
  <c r="G19" i="5"/>
  <c r="F19" i="5"/>
  <c r="I18" i="5"/>
  <c r="H18" i="5"/>
  <c r="G18" i="5"/>
  <c r="M19" i="5"/>
  <c r="M18" i="5"/>
  <c r="K9" i="5"/>
  <c r="F77" i="4"/>
  <c r="J70" i="4"/>
  <c r="F70" i="4"/>
  <c r="J55" i="4"/>
  <c r="F55" i="4"/>
  <c r="J43" i="4"/>
  <c r="F43" i="4"/>
  <c r="J36" i="4"/>
  <c r="F36" i="4"/>
  <c r="J22" i="4"/>
  <c r="F22" i="4"/>
  <c r="J77" i="4"/>
  <c r="J84" i="4"/>
  <c r="F84" i="4"/>
  <c r="C7" i="4" l="1"/>
  <c r="I19" i="5"/>
  <c r="X19" i="5"/>
  <c r="W19" i="5"/>
  <c r="V19" i="5"/>
  <c r="U19" i="5"/>
  <c r="U18" i="5"/>
  <c r="X18" i="5"/>
  <c r="W18" i="5"/>
  <c r="V18" i="5"/>
  <c r="C7" i="5" l="1"/>
  <c r="J8" i="5" l="1"/>
  <c r="J7" i="5"/>
  <c r="F70" i="5"/>
  <c r="F75" i="5" s="1"/>
  <c r="H75" i="5" s="1"/>
  <c r="F71" i="5"/>
  <c r="F76" i="5" s="1"/>
  <c r="H76" i="5" s="1"/>
  <c r="F72" i="5"/>
  <c r="F77" i="5" s="1"/>
  <c r="H77" i="5" s="1"/>
  <c r="F69" i="5"/>
  <c r="F74" i="5" s="1"/>
  <c r="H74" i="5" s="1"/>
  <c r="H70" i="5" l="1"/>
  <c r="H72" i="5"/>
  <c r="H69" i="5"/>
  <c r="H71" i="5"/>
  <c r="H73" i="5" s="1"/>
  <c r="H78" i="5"/>
  <c r="E14" i="2"/>
  <c r="H79" i="5" l="1"/>
  <c r="D9" i="3"/>
  <c r="D10" i="3" s="1"/>
  <c r="H81" i="5" l="1"/>
  <c r="H83" i="5" s="1"/>
  <c r="T19" i="5"/>
  <c r="C8" i="5"/>
  <c r="C5" i="5"/>
  <c r="A2" i="3"/>
  <c r="A3" i="21"/>
  <c r="H85" i="5" l="1"/>
  <c r="T18" i="5"/>
  <c r="F18" i="5" l="1"/>
  <c r="A1" i="8"/>
  <c r="A1" i="16"/>
  <c r="A1" i="13"/>
  <c r="A1" i="12"/>
  <c r="D9" i="2"/>
  <c r="I23" i="5"/>
  <c r="H23" i="5"/>
  <c r="G23" i="5"/>
  <c r="F23" i="5"/>
  <c r="I22" i="5"/>
  <c r="H22" i="5"/>
  <c r="G22" i="5"/>
  <c r="F22" i="5"/>
  <c r="A20" i="18" l="1"/>
  <c r="A19" i="18"/>
  <c r="A18" i="18"/>
  <c r="A17" i="18"/>
  <c r="G54" i="16"/>
  <c r="E54" i="16" s="1"/>
  <c r="G53" i="16"/>
  <c r="E53" i="16" s="1"/>
  <c r="G52" i="16"/>
  <c r="C134" i="4"/>
  <c r="C133" i="4"/>
  <c r="C132" i="4"/>
  <c r="C131" i="4"/>
  <c r="C111" i="4"/>
  <c r="C110" i="4"/>
  <c r="C109" i="4"/>
  <c r="C108" i="4"/>
  <c r="C127" i="4"/>
  <c r="C126" i="4"/>
  <c r="C125" i="4"/>
  <c r="C124" i="4"/>
  <c r="C118" i="4"/>
  <c r="C117" i="4"/>
  <c r="C116" i="4"/>
  <c r="C115" i="4"/>
  <c r="E52" i="16" l="1"/>
  <c r="G57" i="16"/>
  <c r="J135" i="4" l="1"/>
  <c r="E20" i="18" s="1"/>
  <c r="F135" i="4"/>
  <c r="C20" i="18" s="1"/>
  <c r="G134" i="4"/>
  <c r="K134" i="4" s="1"/>
  <c r="G133" i="4"/>
  <c r="K133" i="4" s="1"/>
  <c r="G132" i="4"/>
  <c r="K132" i="4" s="1"/>
  <c r="G131" i="4"/>
  <c r="H131" i="4" s="1"/>
  <c r="L131" i="4" s="1"/>
  <c r="J128" i="4"/>
  <c r="E19" i="18" s="1"/>
  <c r="F128" i="4"/>
  <c r="C19" i="18" s="1"/>
  <c r="G127" i="4"/>
  <c r="K127" i="4" s="1"/>
  <c r="G126" i="4"/>
  <c r="K126" i="4" s="1"/>
  <c r="G125" i="4"/>
  <c r="K125" i="4" s="1"/>
  <c r="G124" i="4"/>
  <c r="K124" i="4" s="1"/>
  <c r="G118" i="4"/>
  <c r="K118" i="4" s="1"/>
  <c r="G117" i="4"/>
  <c r="K117" i="4" s="1"/>
  <c r="G116" i="4"/>
  <c r="K116" i="4" s="1"/>
  <c r="G115" i="4"/>
  <c r="K115" i="4" s="1"/>
  <c r="J112" i="4"/>
  <c r="E17" i="18" s="1"/>
  <c r="F112" i="4"/>
  <c r="C17" i="18" s="1"/>
  <c r="G111" i="4"/>
  <c r="K111" i="4" s="1"/>
  <c r="G110" i="4"/>
  <c r="K110" i="4" s="1"/>
  <c r="G109" i="4"/>
  <c r="G108" i="4"/>
  <c r="K108" i="4" s="1"/>
  <c r="E24" i="18"/>
  <c r="C24" i="18"/>
  <c r="A24" i="18"/>
  <c r="E23" i="18"/>
  <c r="C23" i="18"/>
  <c r="A23" i="18"/>
  <c r="E22" i="18"/>
  <c r="C22" i="18"/>
  <c r="A22" i="18"/>
  <c r="F21" i="18"/>
  <c r="E21" i="18"/>
  <c r="D21" i="18"/>
  <c r="C21" i="18"/>
  <c r="A21" i="18"/>
  <c r="H127" i="4" l="1"/>
  <c r="L127" i="4" s="1"/>
  <c r="H133" i="4"/>
  <c r="L133" i="4" s="1"/>
  <c r="H118" i="4"/>
  <c r="L118" i="4" s="1"/>
  <c r="H111" i="4"/>
  <c r="L111" i="4" s="1"/>
  <c r="H126" i="4"/>
  <c r="L126" i="4" s="1"/>
  <c r="H117" i="4"/>
  <c r="L117" i="4" s="1"/>
  <c r="H109" i="4"/>
  <c r="L109" i="4" s="1"/>
  <c r="H124" i="4"/>
  <c r="H116" i="4"/>
  <c r="K131" i="4"/>
  <c r="K109" i="4"/>
  <c r="H134" i="4"/>
  <c r="L134" i="4" s="1"/>
  <c r="H125" i="4"/>
  <c r="L125" i="4" s="1"/>
  <c r="H132" i="4"/>
  <c r="H108" i="4"/>
  <c r="H115" i="4"/>
  <c r="L115" i="4" l="1"/>
  <c r="H121" i="4"/>
  <c r="D18" i="18" s="1"/>
  <c r="H128" i="4"/>
  <c r="L124" i="4"/>
  <c r="L116" i="4"/>
  <c r="L108" i="4"/>
  <c r="L132" i="4"/>
  <c r="H135" i="4"/>
  <c r="L135" i="4" l="1"/>
  <c r="F20" i="18" s="1"/>
  <c r="J20" i="18" s="1"/>
  <c r="D20" i="18"/>
  <c r="L128" i="4"/>
  <c r="F19" i="18" s="1"/>
  <c r="J19" i="18" s="1"/>
  <c r="D19" i="18"/>
  <c r="F121" i="4"/>
  <c r="G10" i="12"/>
  <c r="E63" i="4" s="1"/>
  <c r="K63" i="4" s="1"/>
  <c r="K5" i="23"/>
  <c r="AC5" i="23" s="1"/>
  <c r="AC4" i="23" s="1"/>
  <c r="I104" i="4" s="1"/>
  <c r="I8" i="23"/>
  <c r="AA4" i="23" s="1"/>
  <c r="G104" i="4" s="1"/>
  <c r="G12" i="13"/>
  <c r="C18" i="18" l="1"/>
  <c r="F63" i="4"/>
  <c r="L63" i="4" s="1"/>
  <c r="G9" i="12"/>
  <c r="I56" i="5"/>
  <c r="I59" i="5"/>
  <c r="I58" i="5"/>
  <c r="Q43" i="5"/>
  <c r="E43" i="5" s="1"/>
  <c r="Q41" i="5"/>
  <c r="R38" i="5"/>
  <c r="G83" i="4"/>
  <c r="G82" i="4"/>
  <c r="G81" i="4"/>
  <c r="G80" i="4"/>
  <c r="G76" i="4"/>
  <c r="G75" i="4"/>
  <c r="G74" i="4"/>
  <c r="G73" i="4"/>
  <c r="G61" i="4"/>
  <c r="G60" i="4"/>
  <c r="G59" i="4"/>
  <c r="G58" i="4"/>
  <c r="G49" i="4"/>
  <c r="G48" i="4"/>
  <c r="G47" i="4"/>
  <c r="G46" i="4"/>
  <c r="G42" i="4"/>
  <c r="G41" i="4"/>
  <c r="G40" i="4"/>
  <c r="G39" i="4"/>
  <c r="G35" i="4"/>
  <c r="G34" i="4"/>
  <c r="G33" i="4"/>
  <c r="G32" i="4"/>
  <c r="G28" i="4"/>
  <c r="G27" i="4"/>
  <c r="G26" i="4"/>
  <c r="G25" i="4"/>
  <c r="G17" i="4"/>
  <c r="G16" i="4"/>
  <c r="G15" i="4"/>
  <c r="G14" i="4"/>
  <c r="G10" i="4"/>
  <c r="K47" i="16"/>
  <c r="E47" i="16" s="1"/>
  <c r="K46" i="16"/>
  <c r="E46" i="16" s="1"/>
  <c r="K45" i="16"/>
  <c r="E45" i="16" s="1"/>
  <c r="I43" i="16"/>
  <c r="K42" i="16"/>
  <c r="G41" i="16"/>
  <c r="E41" i="16" s="1"/>
  <c r="G40" i="16"/>
  <c r="E40" i="16" s="1"/>
  <c r="K36" i="16"/>
  <c r="E36" i="16" s="1"/>
  <c r="K35" i="16"/>
  <c r="E35" i="16" s="1"/>
  <c r="K34" i="16"/>
  <c r="E34" i="16" s="1"/>
  <c r="I32" i="16"/>
  <c r="I31" i="16"/>
  <c r="K30" i="16"/>
  <c r="G29" i="16"/>
  <c r="E29" i="16" s="1"/>
  <c r="G28" i="16"/>
  <c r="K24" i="16"/>
  <c r="E24" i="16" s="1"/>
  <c r="K23" i="16"/>
  <c r="E23" i="16" s="1"/>
  <c r="K22" i="16"/>
  <c r="I20" i="16"/>
  <c r="G19" i="16"/>
  <c r="E19" i="16" s="1"/>
  <c r="G18" i="16"/>
  <c r="E18" i="16" s="1"/>
  <c r="G17" i="16"/>
  <c r="E17" i="16" s="1"/>
  <c r="K13" i="16"/>
  <c r="E13" i="16" s="1"/>
  <c r="K12" i="16"/>
  <c r="I10" i="16"/>
  <c r="G9" i="16"/>
  <c r="E9" i="16" s="1"/>
  <c r="G8" i="16"/>
  <c r="E8" i="16" s="1"/>
  <c r="G7" i="16"/>
  <c r="E7" i="16" s="1"/>
  <c r="K48" i="16" l="1"/>
  <c r="H33" i="16"/>
  <c r="I33" i="16" s="1"/>
  <c r="E33" i="16" s="1"/>
  <c r="E32" i="16"/>
  <c r="G37" i="16"/>
  <c r="E28" i="16"/>
  <c r="K37" i="16"/>
  <c r="E30" i="16"/>
  <c r="G48" i="16"/>
  <c r="H44" i="16"/>
  <c r="I44" i="16" s="1"/>
  <c r="E44" i="16" s="1"/>
  <c r="E43" i="16"/>
  <c r="G25" i="16"/>
  <c r="E31" i="16"/>
  <c r="E42" i="16"/>
  <c r="K25" i="16"/>
  <c r="E22" i="16"/>
  <c r="H21" i="16"/>
  <c r="I21" i="16" s="1"/>
  <c r="E21" i="16" s="1"/>
  <c r="E20" i="16"/>
  <c r="G14" i="16"/>
  <c r="E12" i="16"/>
  <c r="K14" i="16"/>
  <c r="E10" i="16"/>
  <c r="H11" i="16"/>
  <c r="I11" i="16" s="1"/>
  <c r="E11" i="16" s="1"/>
  <c r="I37" i="16" l="1"/>
  <c r="E48" i="16"/>
  <c r="E25" i="16"/>
  <c r="I48" i="16"/>
  <c r="E37" i="16"/>
  <c r="E14" i="16"/>
  <c r="I25" i="16"/>
  <c r="I14" i="16"/>
  <c r="D14" i="18" l="1"/>
  <c r="C14" i="18"/>
  <c r="E9" i="18"/>
  <c r="C9" i="18"/>
  <c r="A16" i="18"/>
  <c r="A15" i="18"/>
  <c r="A14" i="18"/>
  <c r="A13" i="18"/>
  <c r="A12" i="18"/>
  <c r="A11" i="18"/>
  <c r="A10" i="18"/>
  <c r="A9" i="18"/>
  <c r="A8" i="18"/>
  <c r="A7" i="18"/>
  <c r="A6" i="18"/>
  <c r="A5" i="18"/>
  <c r="C83" i="4"/>
  <c r="C82" i="4"/>
  <c r="C81" i="4"/>
  <c r="C80" i="4"/>
  <c r="C76" i="4"/>
  <c r="C75" i="4"/>
  <c r="C74" i="4"/>
  <c r="C73" i="4"/>
  <c r="E13" i="18"/>
  <c r="C13" i="18"/>
  <c r="K83" i="4"/>
  <c r="K82" i="4"/>
  <c r="K81" i="4"/>
  <c r="E12" i="18"/>
  <c r="C12" i="18"/>
  <c r="K76" i="4"/>
  <c r="K75" i="4"/>
  <c r="K73" i="4"/>
  <c r="I62" i="4"/>
  <c r="K61" i="4"/>
  <c r="K58" i="4"/>
  <c r="K46" i="4"/>
  <c r="K50" i="4"/>
  <c r="K49" i="4"/>
  <c r="K48" i="4"/>
  <c r="H73" i="4" l="1"/>
  <c r="H80" i="4"/>
  <c r="K80" i="4"/>
  <c r="H81" i="4"/>
  <c r="L81" i="4" s="1"/>
  <c r="H75" i="4"/>
  <c r="L75" i="4" s="1"/>
  <c r="H82" i="4"/>
  <c r="L82" i="4" s="1"/>
  <c r="J62" i="4"/>
  <c r="L62" i="4" s="1"/>
  <c r="H74" i="4"/>
  <c r="L74" i="4" s="1"/>
  <c r="H83" i="4"/>
  <c r="L83" i="4" s="1"/>
  <c r="K74" i="4"/>
  <c r="H76" i="4"/>
  <c r="L76" i="4" s="1"/>
  <c r="K62" i="4"/>
  <c r="K47" i="4"/>
  <c r="F50" i="4"/>
  <c r="L80" i="4" l="1"/>
  <c r="H84" i="4"/>
  <c r="L73" i="4"/>
  <c r="H77" i="4"/>
  <c r="L50" i="4"/>
  <c r="E51" i="4"/>
  <c r="L77" i="4" l="1"/>
  <c r="F12" i="18" s="1"/>
  <c r="D12" i="18"/>
  <c r="L84" i="4"/>
  <c r="F13" i="18" s="1"/>
  <c r="D13" i="18"/>
  <c r="K51" i="4"/>
  <c r="F51" i="4"/>
  <c r="L51" i="4" l="1"/>
  <c r="C10" i="18" l="1"/>
  <c r="C42" i="4" l="1"/>
  <c r="C41" i="4"/>
  <c r="C40" i="4"/>
  <c r="C39" i="4"/>
  <c r="C35" i="4"/>
  <c r="C34" i="4"/>
  <c r="C33" i="4"/>
  <c r="C32" i="4"/>
  <c r="K32" i="4"/>
  <c r="F29" i="4"/>
  <c r="C7" i="18" s="1"/>
  <c r="J29" i="4"/>
  <c r="E7" i="18" s="1"/>
  <c r="F11" i="4"/>
  <c r="C5" i="18" s="1"/>
  <c r="J11" i="4"/>
  <c r="E5" i="18" s="1"/>
  <c r="K10" i="4"/>
  <c r="C10" i="4"/>
  <c r="H110" i="4"/>
  <c r="C8" i="4"/>
  <c r="C61" i="4"/>
  <c r="H61" i="4" s="1"/>
  <c r="L61" i="4" s="1"/>
  <c r="C60" i="4"/>
  <c r="C59" i="4"/>
  <c r="C58" i="4"/>
  <c r="H58" i="4" s="1"/>
  <c r="C49" i="4"/>
  <c r="H49" i="4" s="1"/>
  <c r="L49" i="4" s="1"/>
  <c r="C48" i="4"/>
  <c r="H48" i="4" s="1"/>
  <c r="C47" i="4"/>
  <c r="H47" i="4" s="1"/>
  <c r="C46" i="4"/>
  <c r="H46" i="4" s="1"/>
  <c r="C28" i="4"/>
  <c r="C27" i="4"/>
  <c r="C26" i="4"/>
  <c r="C25" i="4"/>
  <c r="C17" i="4"/>
  <c r="C16" i="4"/>
  <c r="C15" i="4"/>
  <c r="C14" i="4"/>
  <c r="L58" i="4" l="1"/>
  <c r="L46" i="4"/>
  <c r="H55" i="4"/>
  <c r="L110" i="4"/>
  <c r="H112" i="4"/>
  <c r="L48" i="4"/>
  <c r="F24" i="18" s="1"/>
  <c r="D24" i="18"/>
  <c r="L47" i="4"/>
  <c r="H28" i="4"/>
  <c r="L28" i="4" s="1"/>
  <c r="K28" i="4"/>
  <c r="H32" i="4"/>
  <c r="H14" i="4"/>
  <c r="K14" i="4"/>
  <c r="H10" i="4"/>
  <c r="L10" i="4" s="1"/>
  <c r="L32" i="4" l="1"/>
  <c r="L14" i="4"/>
  <c r="L112" i="4"/>
  <c r="F17" i="18" s="1"/>
  <c r="J17" i="18" s="1"/>
  <c r="D17" i="18"/>
  <c r="D10" i="18"/>
  <c r="E44" i="5" l="1"/>
  <c r="A2" i="18" l="1"/>
  <c r="G96" i="4" l="1"/>
  <c r="K96" i="4" s="1"/>
  <c r="C97" i="4"/>
  <c r="C96" i="4"/>
  <c r="C95" i="4"/>
  <c r="C94" i="4"/>
  <c r="E95" i="4" l="1"/>
  <c r="K95" i="4" s="1"/>
  <c r="H96" i="4"/>
  <c r="F95" i="4" l="1"/>
  <c r="L95" i="4" s="1"/>
  <c r="H98" i="4"/>
  <c r="D15" i="18" s="1"/>
  <c r="L96" i="4"/>
  <c r="C101" i="4" l="1"/>
  <c r="C102" i="4"/>
  <c r="C103" i="4"/>
  <c r="I97" i="4"/>
  <c r="G11" i="13"/>
  <c r="I68" i="4" s="1"/>
  <c r="G6" i="13"/>
  <c r="G7" i="13"/>
  <c r="G8" i="13"/>
  <c r="G9" i="13"/>
  <c r="I67" i="4" s="1"/>
  <c r="G10" i="13"/>
  <c r="I66" i="4" s="1"/>
  <c r="G5" i="13"/>
  <c r="I20" i="4" s="1"/>
  <c r="I52" i="4" l="1"/>
  <c r="J55" i="16"/>
  <c r="I53" i="4"/>
  <c r="J56" i="16"/>
  <c r="K53" i="4"/>
  <c r="J53" i="4"/>
  <c r="L53" i="4" s="1"/>
  <c r="K52" i="4"/>
  <c r="J52" i="4"/>
  <c r="I69" i="4"/>
  <c r="I21" i="4"/>
  <c r="I54" i="4"/>
  <c r="J97" i="4"/>
  <c r="K97" i="4"/>
  <c r="J67" i="4"/>
  <c r="L67" i="4" s="1"/>
  <c r="K67" i="4"/>
  <c r="I120" i="4" l="1"/>
  <c r="J120" i="4" s="1"/>
  <c r="K56" i="16"/>
  <c r="E56" i="16" s="1"/>
  <c r="K55" i="16"/>
  <c r="I119" i="4"/>
  <c r="J119" i="4" s="1"/>
  <c r="J121" i="4" s="1"/>
  <c r="L52" i="4"/>
  <c r="K54" i="4"/>
  <c r="J54" i="4"/>
  <c r="L54" i="4" s="1"/>
  <c r="J98" i="4"/>
  <c r="E15" i="18" s="1"/>
  <c r="L97" i="4"/>
  <c r="E18" i="18" l="1"/>
  <c r="L121" i="4"/>
  <c r="F18" i="18" s="1"/>
  <c r="J18" i="18" s="1"/>
  <c r="J21" i="18" s="1"/>
  <c r="K21" i="18" s="1"/>
  <c r="K57" i="16"/>
  <c r="E57" i="16" s="1"/>
  <c r="E55" i="16"/>
  <c r="E10" i="18" l="1"/>
  <c r="L55" i="4"/>
  <c r="F10" i="18" s="1"/>
  <c r="G12" i="12"/>
  <c r="I103" i="4" s="1"/>
  <c r="G11" i="12"/>
  <c r="G8" i="12"/>
  <c r="G7" i="12"/>
  <c r="E64" i="4" s="1"/>
  <c r="G6" i="12"/>
  <c r="J6" i="23" s="1"/>
  <c r="AB6" i="23" s="1"/>
  <c r="J7" i="23" s="1"/>
  <c r="AB7" i="23" s="1"/>
  <c r="AB4" i="23" s="1"/>
  <c r="E104" i="4" l="1"/>
  <c r="Z4" i="23"/>
  <c r="I102" i="4"/>
  <c r="E94" i="4"/>
  <c r="E18" i="4"/>
  <c r="K94" i="4" l="1"/>
  <c r="F94" i="4"/>
  <c r="L94" i="4" l="1"/>
  <c r="F98" i="4"/>
  <c r="C15" i="18" s="1"/>
  <c r="J104" i="4"/>
  <c r="L98" i="4" l="1"/>
  <c r="F15" i="18" s="1"/>
  <c r="A1" i="4"/>
  <c r="A1" i="5" s="1"/>
  <c r="I90" i="4" l="1"/>
  <c r="I89" i="4"/>
  <c r="H8" i="8"/>
  <c r="H7" i="8"/>
  <c r="K18" i="4" l="1"/>
  <c r="K21" i="4"/>
  <c r="K20" i="4"/>
  <c r="G101" i="4"/>
  <c r="K101" i="4" s="1"/>
  <c r="K35" i="4"/>
  <c r="K34" i="4"/>
  <c r="K33" i="4"/>
  <c r="K17" i="4"/>
  <c r="K16" i="4"/>
  <c r="K41" i="4"/>
  <c r="K40" i="4"/>
  <c r="K39" i="4"/>
  <c r="K42" i="4"/>
  <c r="K27" i="4"/>
  <c r="K26" i="4"/>
  <c r="K25" i="4"/>
  <c r="G9" i="4"/>
  <c r="K9" i="4" s="1"/>
  <c r="G8" i="4"/>
  <c r="K8" i="4" s="1"/>
  <c r="G7" i="4"/>
  <c r="K7" i="4" s="1"/>
  <c r="C9" i="4"/>
  <c r="H6" i="8"/>
  <c r="I88" i="4" s="1"/>
  <c r="J88" i="4" s="1"/>
  <c r="L88" i="4" s="1"/>
  <c r="H5" i="8"/>
  <c r="K104" i="4"/>
  <c r="H104" i="4"/>
  <c r="F104" i="4"/>
  <c r="F105" i="4" s="1"/>
  <c r="C16" i="18" s="1"/>
  <c r="K90" i="4"/>
  <c r="J90" i="4"/>
  <c r="L90" i="4" s="1"/>
  <c r="K89" i="4"/>
  <c r="J89" i="4"/>
  <c r="L89" i="4" s="1"/>
  <c r="K69" i="4"/>
  <c r="J69" i="4"/>
  <c r="L69" i="4" s="1"/>
  <c r="K68" i="4"/>
  <c r="J68" i="4"/>
  <c r="L68" i="4" s="1"/>
  <c r="K66" i="4"/>
  <c r="J66" i="4"/>
  <c r="L66" i="4" s="1"/>
  <c r="K64" i="4"/>
  <c r="F64" i="4"/>
  <c r="K60" i="4"/>
  <c r="H8" i="4" l="1"/>
  <c r="L8" i="4" s="1"/>
  <c r="H9" i="4"/>
  <c r="L9" i="4" s="1"/>
  <c r="H7" i="4"/>
  <c r="H9" i="8"/>
  <c r="I87" i="4"/>
  <c r="J87" i="4" s="1"/>
  <c r="L87" i="4" s="1"/>
  <c r="H27" i="4"/>
  <c r="L27" i="4" s="1"/>
  <c r="H41" i="4"/>
  <c r="H59" i="4"/>
  <c r="H60" i="4"/>
  <c r="L60" i="4" s="1"/>
  <c r="H34" i="4"/>
  <c r="E65" i="4"/>
  <c r="K65" i="4" s="1"/>
  <c r="E8" i="18"/>
  <c r="K59" i="4"/>
  <c r="J20" i="4"/>
  <c r="H25" i="4"/>
  <c r="H39" i="4"/>
  <c r="H40" i="4"/>
  <c r="L40" i="4" s="1"/>
  <c r="H17" i="4"/>
  <c r="L17" i="4" s="1"/>
  <c r="J21" i="4"/>
  <c r="L21" i="4" s="1"/>
  <c r="F18" i="4"/>
  <c r="K88" i="4"/>
  <c r="H15" i="4"/>
  <c r="H26" i="4"/>
  <c r="L26" i="4" s="1"/>
  <c r="H35" i="4"/>
  <c r="L35" i="4" s="1"/>
  <c r="H33" i="4"/>
  <c r="H16" i="4"/>
  <c r="L16" i="4" s="1"/>
  <c r="K15" i="4"/>
  <c r="H42" i="4"/>
  <c r="L104" i="4"/>
  <c r="L64" i="4"/>
  <c r="H101" i="4"/>
  <c r="L59" i="4" l="1"/>
  <c r="H70" i="4"/>
  <c r="L39" i="4"/>
  <c r="H43" i="4"/>
  <c r="L33" i="4"/>
  <c r="H36" i="4"/>
  <c r="D8" i="18" s="1"/>
  <c r="H22" i="4"/>
  <c r="D6" i="18" s="1"/>
  <c r="L41" i="4"/>
  <c r="F23" i="18" s="1"/>
  <c r="D23" i="18"/>
  <c r="L34" i="4"/>
  <c r="F22" i="18" s="1"/>
  <c r="D22" i="18"/>
  <c r="L25" i="4"/>
  <c r="H29" i="4"/>
  <c r="D7" i="18" s="1"/>
  <c r="L7" i="4"/>
  <c r="H11" i="4"/>
  <c r="D5" i="18" s="1"/>
  <c r="K87" i="4"/>
  <c r="E11" i="18"/>
  <c r="D11" i="18"/>
  <c r="D9" i="18"/>
  <c r="L15" i="4"/>
  <c r="E19" i="4"/>
  <c r="K19" i="4" s="1"/>
  <c r="F65" i="4"/>
  <c r="L20" i="4"/>
  <c r="E6" i="18"/>
  <c r="L18" i="4"/>
  <c r="L42" i="4"/>
  <c r="H105" i="4"/>
  <c r="D16" i="18" s="1"/>
  <c r="L101" i="4"/>
  <c r="J91" i="4" l="1"/>
  <c r="L11" i="4"/>
  <c r="F5" i="18" s="1"/>
  <c r="J5" i="18" s="1"/>
  <c r="F19" i="4"/>
  <c r="C6" i="18" s="1"/>
  <c r="L65" i="4"/>
  <c r="C11" i="18"/>
  <c r="E14" i="18" l="1"/>
  <c r="L91" i="4"/>
  <c r="F14" i="18" s="1"/>
  <c r="L19" i="4"/>
  <c r="C8" i="18"/>
  <c r="L22" i="4"/>
  <c r="F6" i="18" s="1"/>
  <c r="J6" i="18" s="1"/>
  <c r="L36" i="4" l="1"/>
  <c r="F8" i="18" s="1"/>
  <c r="J8" i="18" s="1"/>
  <c r="L70" i="4" l="1"/>
  <c r="F11" i="18" s="1"/>
  <c r="L43" i="4"/>
  <c r="F9" i="18" s="1"/>
  <c r="L29" i="4" l="1"/>
  <c r="F7" i="18" s="1"/>
  <c r="J7" i="18" s="1"/>
  <c r="J9" i="18" s="1"/>
  <c r="K9" i="18" s="1"/>
  <c r="K102" i="4" l="1"/>
  <c r="J102" i="4"/>
  <c r="L102" i="4" s="1"/>
  <c r="K103" i="4"/>
  <c r="J103" i="4"/>
  <c r="J105" i="4" l="1"/>
  <c r="E16" i="18" s="1"/>
  <c r="L103" i="4"/>
  <c r="L105" i="4" l="1"/>
  <c r="F16" i="18" s="1"/>
  <c r="D10" i="1" l="1"/>
  <c r="Q8" i="3" l="1"/>
  <c r="R8" i="3" s="1"/>
  <c r="E32" i="5"/>
  <c r="I32" i="5" s="1"/>
  <c r="E31" i="5" s="1"/>
  <c r="E36" i="5" s="1"/>
  <c r="D13" i="3" l="1"/>
  <c r="D14" i="3" s="1"/>
  <c r="D22" i="3" s="1"/>
  <c r="D23" i="3" s="1"/>
  <c r="C22" i="27" l="1"/>
  <c r="Q27" i="3" l="1"/>
  <c r="R27" i="3"/>
  <c r="C27" i="27"/>
  <c r="F27" i="27" s="1"/>
  <c r="C26" i="27"/>
  <c r="F26" i="27" s="1"/>
  <c r="C22" i="10"/>
  <c r="F28" i="27" l="1"/>
  <c r="C27" i="10" l="1"/>
  <c r="F27" i="10" s="1"/>
  <c r="C26" i="10"/>
  <c r="F26" i="10" s="1"/>
  <c r="F28" i="10" l="1"/>
  <c r="R35" i="3" l="1"/>
  <c r="Q35" i="3"/>
  <c r="I7" i="1"/>
  <c r="D7" i="1" s="1"/>
  <c r="L40" i="3" l="1"/>
  <c r="R39" i="3"/>
  <c r="Q39" i="3"/>
  <c r="M42" i="3"/>
  <c r="I9" i="1"/>
  <c r="D9" i="1" s="1"/>
  <c r="F18" i="21"/>
  <c r="I8" i="1"/>
  <c r="D8" i="1" s="1"/>
</calcChain>
</file>

<file path=xl/comments1.xml><?xml version="1.0" encoding="utf-8"?>
<comments xmlns="http://schemas.openxmlformats.org/spreadsheetml/2006/main">
  <authors>
    <author>조현행</author>
  </authors>
  <commentList>
    <comment ref="T18" authorId="0" shapeId="0">
      <text>
        <r>
          <rPr>
            <b/>
            <sz val="9"/>
            <color indexed="81"/>
            <rFont val="돋움"/>
            <family val="3"/>
            <charset val="129"/>
          </rPr>
          <t>조현행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50km </t>
        </r>
        <r>
          <rPr>
            <sz val="9"/>
            <color indexed="81"/>
            <rFont val="돋움"/>
            <family val="3"/>
            <charset val="129"/>
          </rPr>
          <t>미만인경우</t>
        </r>
        <r>
          <rPr>
            <sz val="9"/>
            <color indexed="81"/>
            <rFont val="Tahoma"/>
            <family val="2"/>
          </rPr>
          <t xml:space="preserve"> 50km</t>
        </r>
        <r>
          <rPr>
            <sz val="9"/>
            <color indexed="81"/>
            <rFont val="돋움"/>
            <family val="3"/>
            <charset val="129"/>
          </rPr>
          <t>기준으로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사정한다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>30km</t>
        </r>
        <r>
          <rPr>
            <b/>
            <sz val="9"/>
            <color indexed="81"/>
            <rFont val="돋움"/>
            <family val="3"/>
            <charset val="129"/>
          </rPr>
          <t>미만인경우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할증적용</t>
        </r>
        <r>
          <rPr>
            <b/>
            <sz val="9"/>
            <color indexed="81"/>
            <rFont val="Tahoma"/>
            <family val="2"/>
          </rPr>
          <t xml:space="preserve">(30/50)
</t>
        </r>
      </text>
    </comment>
  </commentList>
</comments>
</file>

<file path=xl/sharedStrings.xml><?xml version="1.0" encoding="utf-8"?>
<sst xmlns="http://schemas.openxmlformats.org/spreadsheetml/2006/main" count="1016" uniqueCount="487">
  <si>
    <t>구 분</t>
    <phoneticPr fontId="2" type="noConversion"/>
  </si>
  <si>
    <t>금 액</t>
    <phoneticPr fontId="2" type="noConversion"/>
  </si>
  <si>
    <t>비 고</t>
    <phoneticPr fontId="2" type="noConversion"/>
  </si>
  <si>
    <t>공급가액</t>
    <phoneticPr fontId="2" type="noConversion"/>
  </si>
  <si>
    <t>부가가치세</t>
    <phoneticPr fontId="2" type="noConversion"/>
  </si>
  <si>
    <t>총 용역비</t>
    <phoneticPr fontId="2" type="noConversion"/>
  </si>
  <si>
    <t>탐사연장</t>
    <phoneticPr fontId="2" type="noConversion"/>
  </si>
  <si>
    <t>km</t>
    <phoneticPr fontId="6" type="noConversion"/>
  </si>
  <si>
    <t>과  업  설  명  서</t>
    <phoneticPr fontId="6" type="noConversion"/>
  </si>
  <si>
    <t>1. 용 역 목 적</t>
    <phoneticPr fontId="6" type="noConversion"/>
  </si>
  <si>
    <t>2. 용  역  명:</t>
    <phoneticPr fontId="6" type="noConversion"/>
  </si>
  <si>
    <r>
      <t>3. 사 업 위 치:</t>
    </r>
    <r>
      <rPr>
        <sz val="13"/>
        <rFont val="맑은 고딕"/>
        <family val="3"/>
        <charset val="129"/>
      </rPr>
      <t xml:space="preserve"> </t>
    </r>
    <phoneticPr fontId="6" type="noConversion"/>
  </si>
  <si>
    <t>4. 용 역 개 요:</t>
    <phoneticPr fontId="6" type="noConversion"/>
  </si>
  <si>
    <t xml:space="preserve"> 1) 탐사연장 : </t>
    <phoneticPr fontId="6" type="noConversion"/>
  </si>
  <si>
    <t>km</t>
    <phoneticPr fontId="2" type="noConversion"/>
  </si>
  <si>
    <t xml:space="preserve">  - 과업지시서 참조</t>
    <phoneticPr fontId="6" type="noConversion"/>
  </si>
  <si>
    <t>5. 용 역 기 간</t>
    <phoneticPr fontId="6" type="noConversion"/>
  </si>
  <si>
    <t xml:space="preserve"> 단, 다음의 경우에 한하여 관의 승인을 얻어 공기를 연장할 수 있다.</t>
    <phoneticPr fontId="6" type="noConversion"/>
  </si>
  <si>
    <t>6. 설계적용 기준</t>
    <phoneticPr fontId="6" type="noConversion"/>
  </si>
  <si>
    <t>7. 설계변경 조건</t>
    <phoneticPr fontId="6" type="noConversion"/>
  </si>
  <si>
    <t>8. 기 타 사 항</t>
    <phoneticPr fontId="6" type="noConversion"/>
  </si>
  <si>
    <t>총 괄 내 역 서</t>
    <phoneticPr fontId="17" type="noConversion"/>
  </si>
  <si>
    <t>구분</t>
    <phoneticPr fontId="6" type="noConversion"/>
  </si>
  <si>
    <t>규격</t>
    <phoneticPr fontId="6" type="noConversion"/>
  </si>
  <si>
    <t>재료비</t>
    <phoneticPr fontId="6" type="noConversion"/>
  </si>
  <si>
    <t>노무비</t>
    <phoneticPr fontId="6" type="noConversion"/>
  </si>
  <si>
    <t>경비</t>
    <phoneticPr fontId="6" type="noConversion"/>
  </si>
  <si>
    <t>합계</t>
    <phoneticPr fontId="6" type="noConversion"/>
  </si>
  <si>
    <t>비고</t>
    <phoneticPr fontId="6" type="noConversion"/>
  </si>
  <si>
    <t xml:space="preserve"> 1. 직접 인건비</t>
    <phoneticPr fontId="6" type="noConversion"/>
  </si>
  <si>
    <t xml:space="preserve"> 2. 직접 경비</t>
    <phoneticPr fontId="6" type="noConversion"/>
  </si>
  <si>
    <t xml:space="preserve"> 4. 제경비</t>
    <phoneticPr fontId="6" type="noConversion"/>
  </si>
  <si>
    <t xml:space="preserve">직접인건비 110% </t>
    <phoneticPr fontId="6" type="noConversion"/>
  </si>
  <si>
    <t xml:space="preserve"> 5. 기술료</t>
    <phoneticPr fontId="6" type="noConversion"/>
  </si>
  <si>
    <t>(직접인건비+제경비)*20%</t>
    <phoneticPr fontId="6" type="noConversion"/>
  </si>
  <si>
    <t xml:space="preserve"> 6. 손해배상공제료</t>
    <phoneticPr fontId="17" type="noConversion"/>
  </si>
  <si>
    <t>공급가액</t>
    <phoneticPr fontId="17" type="noConversion"/>
  </si>
  <si>
    <t xml:space="preserve"> 7. 부가가치세</t>
    <phoneticPr fontId="17" type="noConversion"/>
  </si>
  <si>
    <t>용역비 총계</t>
    <phoneticPr fontId="17" type="noConversion"/>
  </si>
  <si>
    <t>구   분</t>
    <phoneticPr fontId="6" type="noConversion"/>
  </si>
  <si>
    <t>규 격</t>
  </si>
  <si>
    <t>수량</t>
  </si>
  <si>
    <t>단위</t>
  </si>
  <si>
    <t>재 료 비</t>
  </si>
  <si>
    <t/>
  </si>
  <si>
    <t>노 무 비</t>
  </si>
  <si>
    <t>경    비</t>
  </si>
  <si>
    <t>합    계</t>
  </si>
  <si>
    <t>비 고</t>
  </si>
  <si>
    <t>단 가</t>
  </si>
  <si>
    <t>금 액</t>
  </si>
  <si>
    <t>1. 직접인건비</t>
    <phoneticPr fontId="6" type="noConversion"/>
  </si>
  <si>
    <t>개소</t>
    <phoneticPr fontId="6" type="noConversion"/>
  </si>
  <si>
    <t>소     계</t>
    <phoneticPr fontId="6" type="noConversion"/>
  </si>
  <si>
    <t>2. 직접경비</t>
    <phoneticPr fontId="6" type="noConversion"/>
  </si>
  <si>
    <t xml:space="preserve">  성과품(보고서) 인쇄비</t>
    <phoneticPr fontId="6" type="noConversion"/>
  </si>
  <si>
    <t>성과품인쇄, 데이터백업</t>
    <phoneticPr fontId="6" type="noConversion"/>
  </si>
  <si>
    <t>식</t>
    <phoneticPr fontId="6" type="noConversion"/>
  </si>
  <si>
    <t>라바콘 등</t>
    <phoneticPr fontId="6" type="noConversion"/>
  </si>
  <si>
    <t>4. 제경비</t>
    <phoneticPr fontId="6" type="noConversion"/>
  </si>
  <si>
    <t>5. 기술료</t>
    <phoneticPr fontId="6" type="noConversion"/>
  </si>
  <si>
    <t>공급가액</t>
    <phoneticPr fontId="6" type="noConversion"/>
  </si>
  <si>
    <t>%</t>
    <phoneticPr fontId="6" type="noConversion"/>
  </si>
  <si>
    <t>용역비 총계</t>
    <phoneticPr fontId="6" type="noConversion"/>
  </si>
  <si>
    <t>일위대가 목록표</t>
    <phoneticPr fontId="17" type="noConversion"/>
  </si>
  <si>
    <t>개소</t>
    <phoneticPr fontId="2" type="noConversion"/>
  </si>
  <si>
    <t>식</t>
    <phoneticPr fontId="2" type="noConversion"/>
  </si>
  <si>
    <t>일위대가표</t>
    <phoneticPr fontId="17" type="noConversion"/>
  </si>
  <si>
    <t>인</t>
    <phoneticPr fontId="6" type="noConversion"/>
  </si>
  <si>
    <t>특급기술자</t>
    <phoneticPr fontId="17" type="noConversion"/>
  </si>
  <si>
    <t>고급기술자</t>
    <phoneticPr fontId="17" type="noConversion"/>
  </si>
  <si>
    <t>중급기술자</t>
    <phoneticPr fontId="17" type="noConversion"/>
  </si>
  <si>
    <t>소 계</t>
    <phoneticPr fontId="17" type="noConversion"/>
  </si>
  <si>
    <t>인</t>
    <phoneticPr fontId="17" type="noConversion"/>
  </si>
  <si>
    <t>인</t>
  </si>
  <si>
    <t>초급기술자</t>
    <phoneticPr fontId="17" type="noConversion"/>
  </si>
  <si>
    <t>경유</t>
    <phoneticPr fontId="17" type="noConversion"/>
  </si>
  <si>
    <t>ℓ</t>
    <phoneticPr fontId="17" type="noConversion"/>
  </si>
  <si>
    <t>표준품셈 3.4.2.2.5</t>
    <phoneticPr fontId="6" type="noConversion"/>
  </si>
  <si>
    <t>잡재료</t>
    <phoneticPr fontId="17" type="noConversion"/>
  </si>
  <si>
    <t>주연료의</t>
    <phoneticPr fontId="17" type="noConversion"/>
  </si>
  <si>
    <t>%</t>
    <phoneticPr fontId="17" type="noConversion"/>
  </si>
  <si>
    <t>GPR탐사기손료</t>
    <phoneticPr fontId="17" type="noConversion"/>
  </si>
  <si>
    <t>차량탑재형</t>
    <phoneticPr fontId="17" type="noConversion"/>
  </si>
  <si>
    <t>승합차량손료</t>
    <phoneticPr fontId="17" type="noConversion"/>
  </si>
  <si>
    <t>표준품셈 3.4.2.2.6</t>
    <phoneticPr fontId="6" type="noConversion"/>
  </si>
  <si>
    <t>포터블</t>
    <phoneticPr fontId="6" type="noConversion"/>
  </si>
  <si>
    <t>GPS측량기구손료</t>
    <phoneticPr fontId="17" type="noConversion"/>
  </si>
  <si>
    <t>100페이지</t>
    <phoneticPr fontId="6" type="noConversion"/>
  </si>
  <si>
    <t>자료백업</t>
    <phoneticPr fontId="6" type="noConversion"/>
  </si>
  <si>
    <t>외장하드2.5" (1TB)</t>
    <phoneticPr fontId="6" type="noConversion"/>
  </si>
  <si>
    <t>set</t>
    <phoneticPr fontId="6" type="noConversion"/>
  </si>
  <si>
    <t>CD-R or DVD제작</t>
    <phoneticPr fontId="6" type="noConversion"/>
  </si>
  <si>
    <t>보링공</t>
    <phoneticPr fontId="17" type="noConversion"/>
  </si>
  <si>
    <t>표준품셈 3.4.2.2.8</t>
    <phoneticPr fontId="6" type="noConversion"/>
  </si>
  <si>
    <t>휘발유</t>
    <phoneticPr fontId="17" type="noConversion"/>
  </si>
  <si>
    <t>내시경촬영장비 손료</t>
    <phoneticPr fontId="17" type="noConversion"/>
  </si>
  <si>
    <t>hr</t>
    <phoneticPr fontId="6" type="noConversion"/>
  </si>
  <si>
    <t>간이시추기 손료</t>
    <phoneticPr fontId="6" type="noConversion"/>
  </si>
  <si>
    <t>발전기손료</t>
    <phoneticPr fontId="17" type="noConversion"/>
  </si>
  <si>
    <t>5kW</t>
    <phoneticPr fontId="17" type="noConversion"/>
  </si>
  <si>
    <t>승합차량 손료</t>
    <phoneticPr fontId="17" type="noConversion"/>
  </si>
  <si>
    <t>유동성채움재</t>
    <phoneticPr fontId="6" type="noConversion"/>
  </si>
  <si>
    <t>kg</t>
  </si>
  <si>
    <t>물</t>
    <phoneticPr fontId="6" type="noConversion"/>
  </si>
  <si>
    <t>㎥</t>
  </si>
  <si>
    <t>비비기 및 주입</t>
    <phoneticPr fontId="6" type="noConversion"/>
  </si>
  <si>
    <t>기구손료</t>
    <phoneticPr fontId="6" type="noConversion"/>
  </si>
  <si>
    <t>인력품의 2%</t>
  </si>
  <si>
    <t>식</t>
  </si>
  <si>
    <t>보통인부</t>
  </si>
  <si>
    <t>교통정리원</t>
    <phoneticPr fontId="6" type="noConversion"/>
  </si>
  <si>
    <t>설치철거 포함</t>
    <phoneticPr fontId="6" type="noConversion"/>
  </si>
  <si>
    <t>라바콘</t>
    <phoneticPr fontId="6" type="noConversion"/>
  </si>
  <si>
    <t>개</t>
    <phoneticPr fontId="6" type="noConversion"/>
  </si>
  <si>
    <t>작업안내 표지판</t>
    <phoneticPr fontId="6" type="noConversion"/>
  </si>
  <si>
    <t>산 출 근 거</t>
    <phoneticPr fontId="6" type="noConversion"/>
  </si>
  <si>
    <t xml:space="preserve">1. 용 역 명 : </t>
    <phoneticPr fontId="6" type="noConversion"/>
  </si>
  <si>
    <t xml:space="preserve">2. 탐사방법:  </t>
    <phoneticPr fontId="6" type="noConversion"/>
  </si>
  <si>
    <t>차량을 이용하여 1개차로씩 탐사</t>
    <phoneticPr fontId="6" type="noConversion"/>
  </si>
  <si>
    <t xml:space="preserve">  - 탐사장비 손료는 기계경비(손료) 참고</t>
    <phoneticPr fontId="6" type="noConversion"/>
  </si>
  <si>
    <t>단위</t>
    <phoneticPr fontId="6" type="noConversion"/>
  </si>
  <si>
    <t>단위 수량당 소요인원</t>
    <phoneticPr fontId="6" type="noConversion"/>
  </si>
  <si>
    <t>비  고</t>
    <phoneticPr fontId="6" type="noConversion"/>
  </si>
  <si>
    <t>기술사</t>
    <phoneticPr fontId="6" type="noConversion"/>
  </si>
  <si>
    <t>특급기술자</t>
    <phoneticPr fontId="6" type="noConversion"/>
  </si>
  <si>
    <t>고급기술자</t>
    <phoneticPr fontId="6" type="noConversion"/>
  </si>
  <si>
    <t>중급기술자</t>
    <phoneticPr fontId="6" type="noConversion"/>
  </si>
  <si>
    <t>초급기술자</t>
    <phoneticPr fontId="6" type="noConversion"/>
  </si>
  <si>
    <t>보링공</t>
    <phoneticPr fontId="6" type="noConversion"/>
  </si>
  <si>
    <t>인/km</t>
    <phoneticPr fontId="6" type="noConversion"/>
  </si>
  <si>
    <t>인/개소</t>
    <phoneticPr fontId="6" type="noConversion"/>
  </si>
  <si>
    <t>=</t>
    <phoneticPr fontId="6" type="noConversion"/>
  </si>
  <si>
    <t>×</t>
    <phoneticPr fontId="6" type="noConversion"/>
  </si>
  <si>
    <t xml:space="preserve">       가. 공동(빈공간) 체적</t>
    <phoneticPr fontId="6" type="noConversion"/>
  </si>
  <si>
    <t>(㎥/개소당)</t>
    <phoneticPr fontId="6" type="noConversion"/>
  </si>
  <si>
    <t xml:space="preserve">       나. 공동 복구 소요시간</t>
    <phoneticPr fontId="6" type="noConversion"/>
  </si>
  <si>
    <t>(분/개소당)</t>
    <phoneticPr fontId="6" type="noConversion"/>
  </si>
  <si>
    <t xml:space="preserve">       다. 유동성채움재 시공 1㎥당 시공품(재료비, 노무비, 경비)</t>
    <phoneticPr fontId="6" type="noConversion"/>
  </si>
  <si>
    <t>※ 공동(빈공간) 1㎥당(1:1 비율) 유동성채움재 750kg + 물 750ℓ 소요</t>
    <phoneticPr fontId="6" type="noConversion"/>
  </si>
  <si>
    <t xml:space="preserve">          ① 소요인력 </t>
    <phoneticPr fontId="6" type="noConversion"/>
  </si>
  <si>
    <t>kg</t>
    <phoneticPr fontId="6" type="noConversion"/>
  </si>
  <si>
    <t>㎥</t>
    <phoneticPr fontId="6" type="noConversion"/>
  </si>
  <si>
    <t xml:space="preserve">          ② 소요인력 </t>
    <phoneticPr fontId="6" type="noConversion"/>
  </si>
  <si>
    <t>보통인부</t>
    <phoneticPr fontId="6" type="noConversion"/>
  </si>
  <si>
    <t>※ 1일 8시간 : 2인 × 0.5시간(30분) ÷ 8시간 = 0.125 인</t>
    <phoneticPr fontId="6" type="noConversion"/>
  </si>
  <si>
    <t xml:space="preserve">          ③ 공구손료 </t>
    <phoneticPr fontId="6" type="noConversion"/>
  </si>
  <si>
    <t>인력품의 2%</t>
    <phoneticPr fontId="6" type="noConversion"/>
  </si>
  <si>
    <t xml:space="preserve">        - 안전이 확보된 작업장내에서 개방된 천공홀을 통해 공동복구 재료 주입</t>
    <phoneticPr fontId="6" type="noConversion"/>
  </si>
  <si>
    <t xml:space="preserve">          ② 공동 신속복구 재료 주입량에 따른 정산은 시행하지 않음</t>
    <phoneticPr fontId="6" type="noConversion"/>
  </si>
  <si>
    <t xml:space="preserve">          ③ 긴급복구 개소는 실제 시행여부에 따라 정산</t>
    <phoneticPr fontId="6" type="noConversion"/>
  </si>
  <si>
    <t xml:space="preserve"> 2) 교통정리원(보통인부)</t>
    <phoneticPr fontId="6" type="noConversion"/>
  </si>
  <si>
    <t xml:space="preserve"> 3) 소요자재  : 표준품셈 공구손료 3% 적용</t>
    <phoneticPr fontId="6" type="noConversion"/>
  </si>
  <si>
    <t>×</t>
  </si>
  <si>
    <t>재  료  비</t>
    <phoneticPr fontId="17" type="noConversion"/>
  </si>
  <si>
    <t>구분</t>
    <phoneticPr fontId="17" type="noConversion"/>
  </si>
  <si>
    <t>품      목</t>
  </si>
  <si>
    <t>규      격</t>
  </si>
  <si>
    <t>재료비</t>
    <phoneticPr fontId="17" type="noConversion"/>
  </si>
  <si>
    <t>견적회사
(물가정보 page)</t>
    <phoneticPr fontId="17" type="noConversion"/>
  </si>
  <si>
    <t>시중가격</t>
    <phoneticPr fontId="17" type="noConversion"/>
  </si>
  <si>
    <t>적용단가</t>
  </si>
  <si>
    <t>공통</t>
    <phoneticPr fontId="17" type="noConversion"/>
  </si>
  <si>
    <t>경유</t>
    <phoneticPr fontId="4" type="noConversion"/>
  </si>
  <si>
    <t>저유황 0.001%</t>
    <phoneticPr fontId="17" type="noConversion"/>
  </si>
  <si>
    <t>L</t>
  </si>
  <si>
    <t>GPR탐사</t>
    <phoneticPr fontId="17" type="noConversion"/>
  </si>
  <si>
    <t>휘발유</t>
    <phoneticPr fontId="4" type="noConversion"/>
  </si>
  <si>
    <t>유동성채움제</t>
    <phoneticPr fontId="4" type="noConversion"/>
  </si>
  <si>
    <t>kg</t>
    <phoneticPr fontId="17" type="noConversion"/>
  </si>
  <si>
    <t>M3</t>
    <phoneticPr fontId="17" type="noConversion"/>
  </si>
  <si>
    <t>라  바  콘</t>
    <phoneticPr fontId="4" type="noConversion"/>
  </si>
  <si>
    <t>슈퍼콘</t>
    <phoneticPr fontId="17" type="noConversion"/>
  </si>
  <si>
    <t>개</t>
    <phoneticPr fontId="17" type="noConversion"/>
  </si>
  <si>
    <t>인터넷조사 (쿠팡)</t>
    <phoneticPr fontId="17" type="noConversion"/>
  </si>
  <si>
    <t>교 통 표 지</t>
    <phoneticPr fontId="4" type="noConversion"/>
  </si>
  <si>
    <t>공사안내-pe입간판 a형</t>
    <phoneticPr fontId="17" type="noConversion"/>
  </si>
  <si>
    <t>가격</t>
    <phoneticPr fontId="17" type="noConversion"/>
  </si>
  <si>
    <r>
      <t>시간당손료
계수(×10</t>
    </r>
    <r>
      <rPr>
        <vertAlign val="superscript"/>
        <sz val="10"/>
        <rFont val="맑은 고딕"/>
        <family val="3"/>
        <charset val="129"/>
      </rPr>
      <t>-7</t>
    </r>
    <r>
      <rPr>
        <sz val="10"/>
        <rFont val="맑은 고딕"/>
        <family val="3"/>
        <charset val="129"/>
      </rPr>
      <t>)</t>
    </r>
    <phoneticPr fontId="4" type="noConversion"/>
  </si>
  <si>
    <t>손료(hr)</t>
    <phoneticPr fontId="4" type="noConversion"/>
  </si>
  <si>
    <t>비  고</t>
  </si>
  <si>
    <t>hr</t>
    <phoneticPr fontId="17" type="noConversion"/>
  </si>
  <si>
    <t>포터블</t>
    <phoneticPr fontId="17" type="noConversion"/>
  </si>
  <si>
    <t>GPS 측량기구</t>
    <phoneticPr fontId="17" type="noConversion"/>
  </si>
  <si>
    <t>승합차량</t>
    <phoneticPr fontId="17" type="noConversion"/>
  </si>
  <si>
    <t>스타렉스</t>
    <phoneticPr fontId="17" type="noConversion"/>
  </si>
  <si>
    <t>간이시추기</t>
    <phoneticPr fontId="17" type="noConversion"/>
  </si>
  <si>
    <t>코어천공기</t>
    <phoneticPr fontId="17" type="noConversion"/>
  </si>
  <si>
    <t>내시경촬영장비</t>
    <phoneticPr fontId="17" type="noConversion"/>
  </si>
  <si>
    <t>발전기</t>
    <phoneticPr fontId="17" type="noConversion"/>
  </si>
  <si>
    <t>가솔린 5.5kw</t>
    <phoneticPr fontId="17" type="noConversion"/>
  </si>
  <si>
    <t xml:space="preserve"> * 시속 10km 주행 기준</t>
    <phoneticPr fontId="17" type="noConversion"/>
  </si>
  <si>
    <t>지반조사 품셈일위대가  제3장 물리탐사</t>
    <phoneticPr fontId="2" type="noConversion"/>
  </si>
  <si>
    <t>종        별</t>
  </si>
  <si>
    <t>규      격</t>
    <phoneticPr fontId="4" type="noConversion"/>
  </si>
  <si>
    <t>수 량</t>
  </si>
  <si>
    <t>총      액</t>
  </si>
  <si>
    <t>인  건  비</t>
  </si>
  <si>
    <t>재  료  비</t>
  </si>
  <si>
    <t>경      비</t>
  </si>
  <si>
    <t>단  가</t>
  </si>
  <si>
    <t>금    액</t>
  </si>
  <si>
    <t xml:space="preserve"> </t>
  </si>
  <si>
    <t>기술사</t>
  </si>
  <si>
    <t>특급기술자</t>
  </si>
  <si>
    <t>고급기술자</t>
  </si>
  <si>
    <t>중급기술자</t>
  </si>
  <si>
    <t>계</t>
    <phoneticPr fontId="17" type="noConversion"/>
  </si>
  <si>
    <t>초급기술자</t>
  </si>
  <si>
    <t>고급숙련기술자</t>
  </si>
  <si>
    <t>중급숙련기술자</t>
  </si>
  <si>
    <t>초급숙련기술자</t>
  </si>
  <si>
    <t>3.4.2.2.5  차량이동형 GPR 탐사 공동조사 - 측정(1차 조사)     km당</t>
    <phoneticPr fontId="17" type="noConversion"/>
  </si>
  <si>
    <t>HR</t>
    <phoneticPr fontId="17" type="noConversion"/>
  </si>
  <si>
    <t>3.4.2.2.8  차량이동형 GPR 탐사 공동조사(내시경조사) - 조사업무      개소당</t>
    <phoneticPr fontId="17" type="noConversion"/>
  </si>
  <si>
    <t>내시경촬영장비손료</t>
    <phoneticPr fontId="17" type="noConversion"/>
  </si>
  <si>
    <t>성과품 작성비</t>
    <phoneticPr fontId="6" type="noConversion"/>
  </si>
  <si>
    <t>성과품</t>
    <phoneticPr fontId="6" type="noConversion"/>
  </si>
  <si>
    <t>용지크기</t>
    <phoneticPr fontId="6" type="noConversion"/>
  </si>
  <si>
    <t>수량(부)</t>
    <phoneticPr fontId="6" type="noConversion"/>
  </si>
  <si>
    <t>면수(면)</t>
    <phoneticPr fontId="6" type="noConversion"/>
  </si>
  <si>
    <t>단가(원)</t>
    <phoneticPr fontId="6" type="noConversion"/>
  </si>
  <si>
    <t>표지</t>
    <phoneticPr fontId="6" type="noConversion"/>
  </si>
  <si>
    <t>금    액(원)</t>
    <phoneticPr fontId="6" type="noConversion"/>
  </si>
  <si>
    <t>A4</t>
    <phoneticPr fontId="6" type="noConversion"/>
  </si>
  <si>
    <t>계</t>
    <phoneticPr fontId="6" type="noConversion"/>
  </si>
  <si>
    <t>노임단가 (대한건설협회)</t>
    <phoneticPr fontId="6" type="noConversion"/>
  </si>
  <si>
    <t>No</t>
  </si>
  <si>
    <t>품     명</t>
  </si>
  <si>
    <t>규    격</t>
  </si>
  <si>
    <t>적용일자</t>
  </si>
  <si>
    <t>비    고</t>
  </si>
  <si>
    <t>1</t>
  </si>
  <si>
    <t>특별인부</t>
  </si>
  <si>
    <t>2</t>
  </si>
  <si>
    <t>기술등급</t>
    <phoneticPr fontId="6" type="noConversion"/>
  </si>
  <si>
    <t>건설</t>
    <phoneticPr fontId="6" type="noConversion"/>
  </si>
  <si>
    <r>
      <t>손해배상공제료</t>
    </r>
    <r>
      <rPr>
        <b/>
        <sz val="12"/>
        <color indexed="8"/>
        <rFont val="맑은 고딕"/>
        <family val="3"/>
        <charset val="129"/>
        <scheme val="minor"/>
      </rPr>
      <t>(엔지니어링공제조합)</t>
    </r>
    <phoneticPr fontId="6" type="noConversion"/>
  </si>
  <si>
    <t>1. 지급기준</t>
    <phoneticPr fontId="6" type="noConversion"/>
  </si>
  <si>
    <t>- 엔지니어링산업 진흥법 제31조, 동법 시행령 제42조</t>
    <phoneticPr fontId="6" type="noConversion"/>
  </si>
  <si>
    <t>- 엔지니어링손해배상보험 또는 공제 업무처리요령(산업통상자원부 고시 제2017-069호)</t>
    <phoneticPr fontId="6" type="noConversion"/>
  </si>
  <si>
    <t>- 엔지니어링 손해배상보험 공제 의무가입제도 안내서(엔지니어링공제조합)</t>
    <phoneticPr fontId="6" type="noConversion"/>
  </si>
  <si>
    <t>2. 공제료 산정방법(분석, 계약, 검사)</t>
    <phoneticPr fontId="6" type="noConversion"/>
  </si>
  <si>
    <t>- 엔지니어링 손해배상공제료= 1단계 공제료 + 2단계 공제료</t>
    <phoneticPr fontId="6" type="noConversion"/>
  </si>
  <si>
    <t xml:space="preserve"> * 1단계 : 엔지니어링 사업기간 또는 그 사업의 목적이 되는 시설물의 설치기간</t>
    <phoneticPr fontId="6" type="noConversion"/>
  </si>
  <si>
    <t xml:space="preserve"> * 2단계 : 1단계 이후 1년간</t>
    <phoneticPr fontId="6" type="noConversion"/>
  </si>
  <si>
    <t>- 1단계 공제료 = 순계약금액 × [기본요율+{가산요율×(표준담보기간초과일수/365)}]</t>
    <phoneticPr fontId="6" type="noConversion"/>
  </si>
  <si>
    <t xml:space="preserve"> * 1단계기간이 기술분야별 표준담보기간을 초과하지 않는 경우에는 기본요율만 적용됨</t>
    <phoneticPr fontId="6" type="noConversion"/>
  </si>
  <si>
    <t xml:space="preserve"> * 순계약금액 = 용역계약금액-부가가치세-손해배상공제료</t>
    <phoneticPr fontId="6" type="noConversion"/>
  </si>
  <si>
    <t>- 2단계 공제료 =순계약금액 × 0.16%</t>
    <phoneticPr fontId="6" type="noConversion"/>
  </si>
  <si>
    <t>3. 엔지니어링사업의 계약</t>
    <phoneticPr fontId="6" type="noConversion"/>
  </si>
  <si>
    <t>- 공제증서 제출시기 : 계약시</t>
    <phoneticPr fontId="6" type="noConversion"/>
  </si>
  <si>
    <t>- 공제가입기간: 계약기간+1년</t>
    <phoneticPr fontId="6" type="noConversion"/>
  </si>
  <si>
    <t>4. 손해배상보증수수료</t>
    <phoneticPr fontId="6" type="noConversion"/>
  </si>
  <si>
    <t xml:space="preserve">- 공제대상금액 : </t>
    <phoneticPr fontId="6" type="noConversion"/>
  </si>
  <si>
    <t xml:space="preserve">  * 직접비+제경비+기술료</t>
    <phoneticPr fontId="17" type="noConversion"/>
  </si>
  <si>
    <t xml:space="preserve">  ▣ 공제료(분석,계약,검사)</t>
    <phoneticPr fontId="6" type="noConversion"/>
  </si>
  <si>
    <t>대상액</t>
    <phoneticPr fontId="17" type="noConversion"/>
  </si>
  <si>
    <t>기본요율</t>
    <phoneticPr fontId="17" type="noConversion"/>
  </si>
  <si>
    <t>가산요율</t>
    <phoneticPr fontId="17" type="noConversion"/>
  </si>
  <si>
    <t>금액</t>
    <phoneticPr fontId="17" type="noConversion"/>
  </si>
  <si>
    <t>비고</t>
    <phoneticPr fontId="17" type="noConversion"/>
  </si>
  <si>
    <t>1단계 공제료</t>
    <phoneticPr fontId="17" type="noConversion"/>
  </si>
  <si>
    <t>2단계 공제료</t>
    <phoneticPr fontId="17" type="noConversion"/>
  </si>
  <si>
    <t>총 공제료</t>
    <phoneticPr fontId="17" type="noConversion"/>
  </si>
  <si>
    <t>인/식</t>
    <phoneticPr fontId="6" type="noConversion"/>
  </si>
  <si>
    <t>1) 자료조사 및 조사계획 수립</t>
    <phoneticPr fontId="6" type="noConversion"/>
  </si>
  <si>
    <t>3) 탐사자료 분석</t>
    <phoneticPr fontId="6" type="noConversion"/>
  </si>
  <si>
    <t>4) 분석 공동조사서 작성</t>
    <phoneticPr fontId="6" type="noConversion"/>
  </si>
  <si>
    <t>5) 사전조사 및 계획수립</t>
    <phoneticPr fontId="6" type="noConversion"/>
  </si>
  <si>
    <t xml:space="preserve">6) GPR 공동조사(2차 조사) </t>
    <phoneticPr fontId="6" type="noConversion"/>
  </si>
  <si>
    <t>차량형 GPR 공동탐사</t>
    <phoneticPr fontId="6" type="noConversion"/>
  </si>
  <si>
    <t>공동확인조사</t>
    <phoneticPr fontId="6" type="noConversion"/>
  </si>
  <si>
    <t>보고서
작성</t>
    <phoneticPr fontId="6" type="noConversion"/>
  </si>
  <si>
    <t>개소</t>
    <phoneticPr fontId="6" type="noConversion"/>
  </si>
  <si>
    <t>7) 천공 및 내시경 조사</t>
    <phoneticPr fontId="6" type="noConversion"/>
  </si>
  <si>
    <t>자료조사 및 계획수립</t>
    <phoneticPr fontId="6" type="noConversion"/>
  </si>
  <si>
    <t>차량용 GPR 공동탐사(1차 조사)</t>
    <phoneticPr fontId="6" type="noConversion"/>
  </si>
  <si>
    <t>탐사자료 분석</t>
    <phoneticPr fontId="6" type="noConversion"/>
  </si>
  <si>
    <t>분석 공동조사서 작성</t>
    <phoneticPr fontId="6" type="noConversion"/>
  </si>
  <si>
    <t>공동조사 보고서 작성</t>
    <phoneticPr fontId="6" type="noConversion"/>
  </si>
  <si>
    <t>공동
확인
조사</t>
    <phoneticPr fontId="6" type="noConversion"/>
  </si>
  <si>
    <t>사전조사 및 계획수립</t>
    <phoneticPr fontId="6" type="noConversion"/>
  </si>
  <si>
    <t>GPR 공동조사</t>
    <phoneticPr fontId="6" type="noConversion"/>
  </si>
  <si>
    <t>천공 및 내시경 조사</t>
    <phoneticPr fontId="6" type="noConversion"/>
  </si>
  <si>
    <t>공동조사서 작성</t>
    <phoneticPr fontId="6" type="noConversion"/>
  </si>
  <si>
    <t>식</t>
    <phoneticPr fontId="6" type="noConversion"/>
  </si>
  <si>
    <t xml:space="preserve">  공동신속복구</t>
    <phoneticPr fontId="6" type="noConversion"/>
  </si>
  <si>
    <t>[제1호표] 차량형 GPR 공동탐사  - 자료조사 및 조사계획 수립</t>
    <phoneticPr fontId="6" type="noConversion"/>
  </si>
  <si>
    <t>초급기술자</t>
    <phoneticPr fontId="17" type="noConversion"/>
  </si>
  <si>
    <t>인</t>
    <phoneticPr fontId="17" type="noConversion"/>
  </si>
  <si>
    <t>[제3호표] 차량형 GPR 공동탐사 - 탐사자료 분석,  km당</t>
    <phoneticPr fontId="6" type="noConversion"/>
  </si>
  <si>
    <t>[제4호표] 차량형 GPR 공동탐사 - 분석 공동조사서 작성</t>
    <phoneticPr fontId="6" type="noConversion"/>
  </si>
  <si>
    <t>[제5호표] 공동확인조사 - 사전조사 및 계획수립</t>
    <phoneticPr fontId="6" type="noConversion"/>
  </si>
  <si>
    <t>8) 공동조사서 작성</t>
    <phoneticPr fontId="6" type="noConversion"/>
  </si>
  <si>
    <t>9) 공동조사 보고서 작성</t>
    <phoneticPr fontId="6" type="noConversion"/>
  </si>
  <si>
    <t>[제6호표] 공동확인조사 - GPR 공동조사 : 2차 조사,  개소당</t>
    <phoneticPr fontId="6" type="noConversion"/>
  </si>
  <si>
    <t>[제7호표] 공동확인조사 - 천공 및 내시경 조사,  개소당</t>
    <phoneticPr fontId="6" type="noConversion"/>
  </si>
  <si>
    <t>기급기술자</t>
    <phoneticPr fontId="17" type="noConversion"/>
  </si>
  <si>
    <t>[제8호표] 공동확인조사 - 공동조사서 작성</t>
    <phoneticPr fontId="6" type="noConversion"/>
  </si>
  <si>
    <t>[제9호표] 보고서 작성 - 공동조사 보고서 작성</t>
    <phoneticPr fontId="6" type="noConversion"/>
  </si>
  <si>
    <t>[제10호표] 성과품 인쇄 및 데이터 백업</t>
    <phoneticPr fontId="6" type="noConversion"/>
  </si>
  <si>
    <t>[제11호표] 공동 신속복구, 개소당</t>
    <phoneticPr fontId="6" type="noConversion"/>
  </si>
  <si>
    <t>[제12호표] 안전시설, 개소당</t>
    <phoneticPr fontId="6" type="noConversion"/>
  </si>
  <si>
    <t>3. 탐사연장:</t>
    <phoneticPr fontId="6" type="noConversion"/>
  </si>
  <si>
    <t>km</t>
    <phoneticPr fontId="6" type="noConversion"/>
  </si>
  <si>
    <t>공동조사 보고서</t>
    <phoneticPr fontId="6" type="noConversion"/>
  </si>
  <si>
    <t>공동조사 보고서(요약)</t>
    <phoneticPr fontId="6" type="noConversion"/>
  </si>
  <si>
    <t>3.4.2.2.6  차량이동형 GPR 탐사 공동조사 - 측정(2차 조사)     km당</t>
    <phoneticPr fontId="17" type="noConversion"/>
  </si>
  <si>
    <t>3.4.2.2.7  차량이동형 GPR 탐사 공동조사(간이시추조사) - 조사업무      개소당</t>
    <phoneticPr fontId="17" type="noConversion"/>
  </si>
  <si>
    <t>비트</t>
    <phoneticPr fontId="17" type="noConversion"/>
  </si>
  <si>
    <t>2inch 이상</t>
    <phoneticPr fontId="17" type="noConversion"/>
  </si>
  <si>
    <t>간이시추기손료</t>
    <phoneticPr fontId="17" type="noConversion"/>
  </si>
  <si>
    <t>Φ50 이상</t>
    <phoneticPr fontId="17" type="noConversion"/>
  </si>
  <si>
    <t>GPR 탐사기</t>
    <phoneticPr fontId="17" type="noConversion"/>
  </si>
  <si>
    <t>2021 하반기 지반조사 표준품셈</t>
    <phoneticPr fontId="17" type="noConversion"/>
  </si>
  <si>
    <t>비트</t>
    <phoneticPr fontId="17" type="noConversion"/>
  </si>
  <si>
    <t>2inch 이상</t>
    <phoneticPr fontId="17" type="noConversion"/>
  </si>
  <si>
    <t>Φ50 이상</t>
    <phoneticPr fontId="6" type="noConversion"/>
  </si>
  <si>
    <t xml:space="preserve">  - GPR 탐사기(차량탑재형, 포터블)</t>
    <phoneticPr fontId="6" type="noConversion"/>
  </si>
  <si>
    <t>4. 투입장비</t>
    <phoneticPr fontId="6" type="noConversion"/>
  </si>
  <si>
    <t xml:space="preserve">5. 인원산출 </t>
    <phoneticPr fontId="6" type="noConversion"/>
  </si>
  <si>
    <t>산출근거 5-1</t>
  </si>
  <si>
    <t>산출근거 5-2</t>
  </si>
  <si>
    <t>산출근거 5-3</t>
  </si>
  <si>
    <t>산출근거 5-4</t>
  </si>
  <si>
    <t>산출근거 5-5</t>
  </si>
  <si>
    <t>산출근거 5-6</t>
  </si>
  <si>
    <t>산출근거 5-7</t>
  </si>
  <si>
    <t>산출근거 5-8</t>
  </si>
  <si>
    <t>산출근거 5-9</t>
  </si>
  <si>
    <t>※ 공동 인정기준(좁은폭이 0.5m이상, 면적=0.25㎡이상, 높이 0.2m이상) 의 1.2배 적용</t>
    <phoneticPr fontId="6" type="noConversion"/>
  </si>
  <si>
    <t>※ 1㎥÷0.75ton(750kg)=1.333 (ton/㎥) // 유동성채움재=0.06㎥(공동체적)÷1.333(ton/㎥)×1,000kg=45.01kg</t>
    <phoneticPr fontId="6" type="noConversion"/>
  </si>
  <si>
    <t>※  45.01ℓ (유동성채움재:물=1:1비율) ÷ 1㎥ ÷ 100 = 0.09 ㎥</t>
    <phoneticPr fontId="6" type="noConversion"/>
  </si>
  <si>
    <t xml:space="preserve">          ① 천공 및 폐쇄(포장복구) 비용 미반영 : 일위대가표 "공동확인조사(천공 및 내시경 촬영)"에 포함됨</t>
    <phoneticPr fontId="6" type="noConversion"/>
  </si>
  <si>
    <t xml:space="preserve"> 1) 공동확인조사 1개소당 2시간 소요, 1일 4개 적용(안전시설 설치+핸드GPR조사+천공+내시경촬영+철거)</t>
    <phoneticPr fontId="6" type="noConversion"/>
  </si>
  <si>
    <t xml:space="preserve">   3-1) 라바콘 : 24개(1개차로 20m 통제, 2m간격 설치) = 24개 * 손료 3% = </t>
    <phoneticPr fontId="6" type="noConversion"/>
  </si>
  <si>
    <t xml:space="preserve">   3-2) 교통표지(안내판) : 2개소(양방향 통제시 고려) = 2개 * 손료 3% = </t>
    <phoneticPr fontId="6" type="noConversion"/>
  </si>
  <si>
    <t xml:space="preserve">   2-1) 2인, 안전시설 설치/철거 및 교통정리 포함(양방향 통제)</t>
    <phoneticPr fontId="6" type="noConversion"/>
  </si>
  <si>
    <t>= 2인 / 4개소(일) =</t>
    <phoneticPr fontId="6" type="noConversion"/>
  </si>
  <si>
    <t xml:space="preserve"> 2) 과업내용 : 지표투과레이더 탐사 등</t>
    <phoneticPr fontId="6" type="noConversion"/>
  </si>
  <si>
    <t>3. 현장경비 (공동복구)</t>
    <phoneticPr fontId="6" type="noConversion"/>
  </si>
  <si>
    <t xml:space="preserve"> 3. 현장경비 (공동 복구)</t>
    <phoneticPr fontId="6" type="noConversion"/>
  </si>
  <si>
    <t>표준품셈 3.4.2.2.7</t>
    <phoneticPr fontId="6" type="noConversion"/>
  </si>
  <si>
    <t xml:space="preserve">6. 2차조사 (천공 및 내시경촬영)  : </t>
    <phoneticPr fontId="6" type="noConversion"/>
  </si>
  <si>
    <t xml:space="preserve">7. 공동 신속복구(유동성채움재) </t>
    <phoneticPr fontId="6" type="noConversion"/>
  </si>
  <si>
    <t xml:space="preserve">     7-1) 공동복구 수량 : </t>
    <phoneticPr fontId="6" type="noConversion"/>
  </si>
  <si>
    <t xml:space="preserve">     7-2) 공동복구 일위대가 산출 근거 (개소당)</t>
    <phoneticPr fontId="6" type="noConversion"/>
  </si>
  <si>
    <t xml:space="preserve">     7-3) 작업내용 : 유동성채움재와 물을 섞은(인력비비기) 후 천공된 홀로 인력주입 과정의 순비용만 계상</t>
    <phoneticPr fontId="6" type="noConversion"/>
  </si>
  <si>
    <t xml:space="preserve">     7-4) 설계 조건</t>
    <phoneticPr fontId="6" type="noConversion"/>
  </si>
  <si>
    <t>8. 안전시설(천공 개소당)</t>
    <phoneticPr fontId="6" type="noConversion"/>
  </si>
  <si>
    <t>산출근거</t>
    <phoneticPr fontId="17" type="noConversion"/>
  </si>
  <si>
    <t>인터넷조사(네이버쇼핑)</t>
    <phoneticPr fontId="17" type="noConversion"/>
  </si>
  <si>
    <t>물가정보</t>
    <phoneticPr fontId="17" type="noConversion"/>
  </si>
  <si>
    <t>거래가격 2022.2월 P230</t>
    <phoneticPr fontId="17" type="noConversion"/>
  </si>
  <si>
    <t>초속경 모르타르</t>
    <phoneticPr fontId="17" type="noConversion"/>
  </si>
  <si>
    <t>상수도요금</t>
    <phoneticPr fontId="4" type="noConversion"/>
  </si>
  <si>
    <t>물가정보2 2022.2월 P390.</t>
    <phoneticPr fontId="17" type="noConversion"/>
  </si>
  <si>
    <t>일반용</t>
    <phoneticPr fontId="17" type="noConversion"/>
  </si>
  <si>
    <t>비트</t>
    <phoneticPr fontId="2" type="noConversion"/>
  </si>
  <si>
    <t>덤프트럭</t>
    <phoneticPr fontId="17" type="noConversion"/>
  </si>
  <si>
    <t>2.5ton</t>
    <phoneticPr fontId="17" type="noConversion"/>
  </si>
  <si>
    <t>기계경비1</t>
    <phoneticPr fontId="17" type="noConversion"/>
  </si>
  <si>
    <t>기계경비</t>
  </si>
  <si>
    <t>명    칭</t>
  </si>
  <si>
    <t>규   격</t>
  </si>
  <si>
    <t>산   출   근   거</t>
  </si>
  <si>
    <t>노무비</t>
  </si>
  <si>
    <t>재료비</t>
  </si>
  <si>
    <t>비     고</t>
  </si>
  <si>
    <t>손   료</t>
  </si>
  <si>
    <t>￦×</t>
  </si>
  <si>
    <t>10(-7)</t>
  </si>
  <si>
    <t>'21年 개정</t>
  </si>
  <si>
    <t>주연료</t>
  </si>
  <si>
    <t>ℓ</t>
  </si>
  <si>
    <t>주연료의</t>
  </si>
  <si>
    <t>%</t>
  </si>
  <si>
    <t>1/8*16/12*25/20</t>
  </si>
  <si>
    <t>잡  품</t>
  </si>
  <si>
    <t>경    유</t>
  </si>
  <si>
    <t>화물차운전사</t>
  </si>
  <si>
    <t>1. 덤프트럭</t>
    <phoneticPr fontId="2" type="noConversion"/>
  </si>
  <si>
    <t>화물차운전사</t>
    <phoneticPr fontId="6" type="noConversion"/>
  </si>
  <si>
    <t>2.5Ton</t>
    <phoneticPr fontId="2" type="noConversion"/>
  </si>
  <si>
    <t>덤프트럭</t>
    <phoneticPr fontId="6" type="noConversion"/>
  </si>
  <si>
    <t>2.5ton</t>
    <phoneticPr fontId="6" type="noConversion"/>
  </si>
  <si>
    <t>2inch 이상</t>
    <phoneticPr fontId="2" type="noConversion"/>
  </si>
  <si>
    <t>본</t>
    <phoneticPr fontId="2" type="noConversion"/>
  </si>
  <si>
    <t>물가정보 2022.2월 P1146.</t>
    <phoneticPr fontId="17" type="noConversion"/>
  </si>
  <si>
    <t>본</t>
    <phoneticPr fontId="17" type="noConversion"/>
  </si>
  <si>
    <t xml:space="preserve"> 본 탐사용역은 『지하안전관리에 관한 특별법』 제34조 및 동법 시행규칙 제16조 규정에 따라 지반침하 발생의 원인이</t>
    <phoneticPr fontId="6" type="noConversion"/>
  </si>
  <si>
    <t>되는 지하공동을 GPR 탐사 장비를 활용하여 공동의 존재유무를 확인하고 공동을 신속복구함으로써 지반침하가</t>
    <phoneticPr fontId="6" type="noConversion"/>
  </si>
  <si>
    <t>발생되지 않도록 함</t>
    <phoneticPr fontId="6" type="noConversion"/>
  </si>
  <si>
    <t>- 엔지니어링사업대가의 기준, 2022년 산업통상자원부(공동조사 표준품셈) 및 건설공사 표준품셈에 의거 산출</t>
    <phoneticPr fontId="2" type="noConversion"/>
  </si>
  <si>
    <t>천재지변으로 인하여 작업이 불가능할 때</t>
    <phoneticPr fontId="2" type="noConversion"/>
  </si>
  <si>
    <t>3)</t>
    <phoneticPr fontId="6" type="noConversion"/>
  </si>
  <si>
    <t xml:space="preserve">        1) 노임 및 품셈</t>
    <phoneticPr fontId="6" type="noConversion"/>
  </si>
  <si>
    <t xml:space="preserve"> 공사시행 중 도급자의 과실로 민간, 또는 공공시설 차량 및 인명에 손상을 주었을 때에는 산업안전 보건법에 의한 </t>
    <phoneticPr fontId="6" type="noConversion"/>
  </si>
  <si>
    <t xml:space="preserve"> 산업재해 발생은 물론 산재보험대상이 아닌 일반인의 피해발생에 대하여도 도급자의 비용으로 복구 및 보상한다.</t>
    <phoneticPr fontId="6" type="noConversion"/>
  </si>
  <si>
    <t>1)</t>
    <phoneticPr fontId="6" type="noConversion"/>
  </si>
  <si>
    <t>2)</t>
    <phoneticPr fontId="2" type="noConversion"/>
  </si>
  <si>
    <t>용역기간 중 강수일수가 평균 강우 일수 보다 많아 과업수행에 차질이 있을 경우</t>
    <phoneticPr fontId="2" type="noConversion"/>
  </si>
  <si>
    <t>관계부서 협의가 지연되었을 경우</t>
    <phoneticPr fontId="2" type="noConversion"/>
  </si>
  <si>
    <t>4)</t>
    <phoneticPr fontId="2" type="noConversion"/>
  </si>
  <si>
    <t>기타 불가피한 상황이 발생하였을 때</t>
    <phoneticPr fontId="2" type="noConversion"/>
  </si>
  <si>
    <t xml:space="preserve">        1)</t>
    <phoneticPr fontId="6" type="noConversion"/>
  </si>
  <si>
    <t xml:space="preserve">        2)</t>
    <phoneticPr fontId="6" type="noConversion"/>
  </si>
  <si>
    <t>본 과업의 탐사 물량은 추정물량에 의해 산정하였으며, 현장조사 결과 및 발주부서의 계획 변경 등에 의해</t>
    <phoneticPr fontId="2" type="noConversion"/>
  </si>
  <si>
    <t>탐사연장의 증감이 발생할 수 있으며, 예산 범위 내에서 설계 변경할 수 있다.</t>
    <phoneticPr fontId="2" type="noConversion"/>
  </si>
  <si>
    <t>발주부서가 필요하다고 인정하거나 관계기관과의 협의에 따라 변경이 불가피한 경우</t>
    <phoneticPr fontId="2" type="noConversion"/>
  </si>
  <si>
    <t>인</t>
    <phoneticPr fontId="6" type="noConversion"/>
  </si>
  <si>
    <t>멀티형 GPR 공동탐사</t>
    <phoneticPr fontId="6" type="noConversion"/>
  </si>
  <si>
    <t>10) 자료조사 및 조사계획 수립</t>
    <phoneticPr fontId="6" type="noConversion"/>
  </si>
  <si>
    <t>12) 탐사자료 분석</t>
    <phoneticPr fontId="6" type="noConversion"/>
  </si>
  <si>
    <t>13) 분석 공동조사서 작성</t>
    <phoneticPr fontId="6" type="noConversion"/>
  </si>
  <si>
    <t>산출근거 5-10</t>
    <phoneticPr fontId="17" type="noConversion"/>
  </si>
  <si>
    <t>[제14호표] 멀티형 GPR 공동탐사 - 1차 조사,  km당</t>
    <phoneticPr fontId="6" type="noConversion"/>
  </si>
  <si>
    <t>[제15호표] 멀티형 GPR 공동탐사 - 탐사자료 분석,  km당</t>
    <phoneticPr fontId="6" type="noConversion"/>
  </si>
  <si>
    <t>[제16호표] 멀티형 GPR 공동탐사 - 분석 공동조사서 작성</t>
    <phoneticPr fontId="6" type="noConversion"/>
  </si>
  <si>
    <t>산출근거 5-11</t>
    <phoneticPr fontId="17" type="noConversion"/>
  </si>
  <si>
    <t>산출근거 5-12</t>
    <phoneticPr fontId="17" type="noConversion"/>
  </si>
  <si>
    <t>산출근거 5-13</t>
    <phoneticPr fontId="17" type="noConversion"/>
  </si>
  <si>
    <t>[제13호표] 멀티형 GPR 공동탐사  - 자료조사 및 조사계획 수립</t>
    <phoneticPr fontId="6" type="noConversion"/>
  </si>
  <si>
    <t>3.4.1.2.5  핸디 GPR 탐사 공동조사 - 측선설정 및 측정    km당</t>
    <phoneticPr fontId="17" type="noConversion"/>
  </si>
  <si>
    <t>지표레이더기손료</t>
    <phoneticPr fontId="17" type="noConversion"/>
  </si>
  <si>
    <t>표준품셈 3.4.1.2.5</t>
    <phoneticPr fontId="6" type="noConversion"/>
  </si>
  <si>
    <t>지표투과레이더기손료</t>
    <phoneticPr fontId="17" type="noConversion"/>
  </si>
  <si>
    <t>차량형 GPR
공동탐사</t>
    <phoneticPr fontId="6" type="noConversion"/>
  </si>
  <si>
    <t>차량형</t>
    <phoneticPr fontId="6" type="noConversion"/>
  </si>
  <si>
    <t>멀티형</t>
    <phoneticPr fontId="6" type="noConversion"/>
  </si>
  <si>
    <t>11) 멀티채널 GPR 공동탐사(1차 조사)</t>
    <phoneticPr fontId="6" type="noConversion"/>
  </si>
  <si>
    <t>50페이지</t>
    <phoneticPr fontId="6" type="noConversion"/>
  </si>
  <si>
    <t>차도</t>
    <phoneticPr fontId="6" type="noConversion"/>
  </si>
  <si>
    <t>km당</t>
    <phoneticPr fontId="6" type="noConversion"/>
  </si>
  <si>
    <t>차도부</t>
    <phoneticPr fontId="2" type="noConversion"/>
  </si>
  <si>
    <t>보도부</t>
    <phoneticPr fontId="2" type="noConversion"/>
  </si>
  <si>
    <t>기준(km)</t>
    <phoneticPr fontId="6" type="noConversion"/>
  </si>
  <si>
    <r>
      <t>2)</t>
    </r>
    <r>
      <rPr>
        <sz val="11"/>
        <color theme="1"/>
        <rFont val="맑은 고딕"/>
        <family val="2"/>
        <charset val="129"/>
        <scheme val="minor"/>
      </rPr>
      <t xml:space="preserve"> 차량용 GPR 공동탐사(1차 조사)</t>
    </r>
    <phoneticPr fontId="6" type="noConversion"/>
  </si>
  <si>
    <t>적용(km)</t>
    <phoneticPr fontId="6" type="noConversion"/>
  </si>
  <si>
    <t>\</t>
    <phoneticPr fontId="2" type="noConversion"/>
  </si>
  <si>
    <t xml:space="preserve">  교통안전관리</t>
    <phoneticPr fontId="6" type="noConversion"/>
  </si>
  <si>
    <t>일</t>
    <phoneticPr fontId="6" type="noConversion"/>
  </si>
  <si>
    <t>석유공사 2025.2월</t>
  </si>
  <si>
    <t>석유공사 2025.2월</t>
    <phoneticPr fontId="17" type="noConversion"/>
  </si>
  <si>
    <t xml:space="preserve">  - 탐사연장(km) × 0.1개소 </t>
    <phoneticPr fontId="6" type="noConversion"/>
  </si>
  <si>
    <t xml:space="preserve">    * 공동 발굴 기준 km 당 0.1개소 적용</t>
    <phoneticPr fontId="6" type="noConversion"/>
  </si>
  <si>
    <t>A. 국도 침하 취약구간 GPR 탐사</t>
    <phoneticPr fontId="6" type="noConversion"/>
  </si>
  <si>
    <t>산 출 내 역 서</t>
    <phoneticPr fontId="17" type="noConversion"/>
  </si>
  <si>
    <t>30억이하</t>
    <phoneticPr fontId="17" type="noConversion"/>
  </si>
  <si>
    <t>합  계</t>
    <phoneticPr fontId="6" type="noConversion"/>
  </si>
  <si>
    <t>B. 통합관리시스템 구축 용역</t>
    <phoneticPr fontId="6" type="noConversion"/>
  </si>
  <si>
    <t>9. 통합관리 시스템 구축 용역</t>
    <phoneticPr fontId="6" type="noConversion"/>
  </si>
  <si>
    <t>시스템 구축</t>
    <phoneticPr fontId="6" type="noConversion"/>
  </si>
  <si>
    <t>단가</t>
    <phoneticPr fontId="6" type="noConversion"/>
  </si>
  <si>
    <t>금액</t>
    <phoneticPr fontId="6" type="noConversion"/>
  </si>
  <si>
    <t>DB 구축</t>
    <phoneticPr fontId="6" type="noConversion"/>
  </si>
  <si>
    <t>소  계</t>
    <phoneticPr fontId="6" type="noConversion"/>
  </si>
  <si>
    <t>참여기술자</t>
    <phoneticPr fontId="6" type="noConversion"/>
  </si>
  <si>
    <t>인원</t>
    <phoneticPr fontId="6" type="noConversion"/>
  </si>
  <si>
    <t>참여일</t>
    <phoneticPr fontId="6" type="noConversion"/>
  </si>
  <si>
    <t>1) 순용역 소요 인력</t>
    <phoneticPr fontId="6" type="noConversion"/>
  </si>
  <si>
    <t>2) 제경비(소요 인건비의 110%)</t>
    <phoneticPr fontId="6" type="noConversion"/>
  </si>
  <si>
    <t>3) 기술료(소요 인건비 + 제경비의 20%)</t>
    <phoneticPr fontId="6" type="noConversion"/>
  </si>
  <si>
    <t>4) 총 용역비</t>
    <phoneticPr fontId="6" type="noConversion"/>
  </si>
  <si>
    <t>1. 시스템 구축 및 DB화</t>
    <phoneticPr fontId="6" type="noConversion"/>
  </si>
  <si>
    <t xml:space="preserve">  시스템구축 및 DB화</t>
    <phoneticPr fontId="6" type="noConversion"/>
  </si>
  <si>
    <t>순 용역비 총계</t>
    <phoneticPr fontId="6" type="noConversion"/>
  </si>
  <si>
    <t>C. 손해배상공제료</t>
    <phoneticPr fontId="17" type="noConversion"/>
  </si>
  <si>
    <t>D. 부가가치세</t>
    <phoneticPr fontId="6" type="noConversion"/>
  </si>
  <si>
    <t>차선</t>
    <phoneticPr fontId="6" type="noConversion"/>
  </si>
  <si>
    <t>탐사연장</t>
    <phoneticPr fontId="6" type="noConversion"/>
  </si>
  <si>
    <t>노선연장</t>
    <phoneticPr fontId="6" type="noConversion"/>
  </si>
  <si>
    <t>탐사 연장을 고려한 1차조사 및 분석 요율</t>
    <phoneticPr fontId="6" type="noConversion"/>
  </si>
  <si>
    <t>유효 가탐심도를 고려한 1차조사 및 분석 요율</t>
    <phoneticPr fontId="6" type="noConversion"/>
  </si>
  <si>
    <t>도로 노선 800km 기준</t>
    <phoneticPr fontId="6" type="noConversion"/>
  </si>
  <si>
    <t>위험구간 평균차로 고려</t>
    <phoneticPr fontId="6" type="noConversion"/>
  </si>
  <si>
    <t>2026년 국도 침하 취약구간 GPR탐사 및 통합관리시스템 구축 용역</t>
    <phoneticPr fontId="6" type="noConversion"/>
  </si>
  <si>
    <t>2026년(상)</t>
    <phoneticPr fontId="2" type="noConversion"/>
  </si>
  <si>
    <t>2025년</t>
    <phoneticPr fontId="6" type="noConversion"/>
  </si>
  <si>
    <t>2026년</t>
    <phoneticPr fontId="6" type="noConversion"/>
  </si>
  <si>
    <t>[제2호표] 차량형 GPR 공동탐사 - 1차 조사,  km당(조사대상 선정 포함)</t>
    <phoneticPr fontId="6" type="noConversion"/>
  </si>
  <si>
    <t xml:space="preserve">  - 2025년 산업통상자원부(공동조사 표준품셈)</t>
    <phoneticPr fontId="6" type="noConversion"/>
  </si>
  <si>
    <r>
      <t xml:space="preserve"> 본 용역은 착수일로부터 2026년 12월 31일까지</t>
    </r>
    <r>
      <rPr>
        <sz val="13"/>
        <rFont val="맑은 고딕"/>
        <family val="3"/>
        <charset val="129"/>
      </rPr>
      <t>로 하며, 본 공사는 설계도서, 각종 표준시방서에 의한다.</t>
    </r>
    <phoneticPr fontId="6" type="noConversion"/>
  </si>
  <si>
    <t>2026.  5.</t>
    <phoneticPr fontId="6" type="noConversion"/>
  </si>
  <si>
    <t>서울지방국토관리청</t>
    <phoneticPr fontId="6" type="noConversion"/>
  </si>
  <si>
    <t>의정부국토관리사무소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</si>
</sst>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1" formatCode="_-* #,##0_-;\-* #,##0_-;_-* &quot;-&quot;_-;_-@_-"/>
    <numFmt numFmtId="176" formatCode="_-* #,##0.0_-;&quot;₩&quot;\!\-* #,##0.0_-;_-* &quot;-&quot;_-;_-@_-"/>
    <numFmt numFmtId="177" formatCode="_-* #,##0.00_-;&quot;₩&quot;\!\-* #,##0.00_-;_-* &quot;-&quot;_-;_-@_-"/>
    <numFmt numFmtId="178" formatCode="General;\-General\,&quot;&quot;;@"/>
    <numFmt numFmtId="179" formatCode="#,##0_ "/>
    <numFmt numFmtId="180" formatCode="_-* #,##0.0_-;\-* #,##0.0_-;_-* &quot;-&quot;_-;_-@_-"/>
    <numFmt numFmtId="181" formatCode="_-* #,##0.00_-;\-* #,##0.00_-;_-* &quot;-&quot;_-;_-@_-"/>
    <numFmt numFmtId="182" formatCode="_-* #,##0.000_-;\-* #,##0.000_-;_-* &quot;-&quot;_-;_-@_-"/>
    <numFmt numFmtId="183" formatCode="0.00%&quot; -&quot;"/>
    <numFmt numFmtId="184" formatCode="#,##0&quot;원&quot;\ "/>
    <numFmt numFmtId="185" formatCode="#,##0&quot; 원&quot;"/>
    <numFmt numFmtId="186" formatCode="#,##0_ &quot;원&quot;"/>
    <numFmt numFmtId="187" formatCode="#,##0.00_ "/>
    <numFmt numFmtId="188" formatCode="#,##0.000_ "/>
    <numFmt numFmtId="189" formatCode="_ * #,##0_ ;_ * \-#,##0_ ;_ * &quot;-&quot;_ ;_ @_ "/>
    <numFmt numFmtId="190" formatCode="0.00_);[Red]\(0.00\)"/>
    <numFmt numFmtId="191" formatCode="#,##0.00;\-#,##0.00;#"/>
    <numFmt numFmtId="192" formatCode="_ * #,##0_ ;_ * \-#,##0_ ;_ * &quot;-&quot;??_ ;_ @_ "/>
    <numFmt numFmtId="193" formatCode="_-* #,##0.000_-;&quot;₩&quot;\!\-* #,##0.000_-;_-* &quot;-&quot;_-;_-@_-"/>
    <numFmt numFmtId="194" formatCode="0.0_);[Red]\(0.0\)"/>
    <numFmt numFmtId="195" formatCode="#,##0&quot;개소&quot;\ "/>
    <numFmt numFmtId="196" formatCode="&quot;₩&quot;#,##0_);[Red]\(&quot;₩&quot;#,##0\)"/>
    <numFmt numFmtId="197" formatCode="_ * #,##0_ ;_ * &quot;₩&quot;&quot;₩&quot;&quot;₩&quot;&quot;₩&quot;&quot;₩&quot;&quot;₩&quot;&quot;₩&quot;&quot;₩&quot;&quot;₩&quot;&quot;₩&quot;\-#,##0_ ;_ * &quot;-&quot;_ ;_ @_ "/>
    <numFmt numFmtId="198" formatCode="#\ &quot;km&quot;"/>
    <numFmt numFmtId="199" formatCode="#,##0.##"/>
    <numFmt numFmtId="200" formatCode="#,##0.#######"/>
    <numFmt numFmtId="201" formatCode="0.000%"/>
    <numFmt numFmtId="202" formatCode="_-* #,##0.0_-;\-* #,##0.0_-;_-* &quot;-&quot;?_-;_-@_-"/>
    <numFmt numFmtId="203" formatCode="_-* #,##0_-;\-* #,##0_-;_-* &quot;-&quot;?_-;_-@_-"/>
    <numFmt numFmtId="204" formatCode="0.0%"/>
    <numFmt numFmtId="205" formatCode="0.0"/>
    <numFmt numFmtId="206" formatCode="#,##0.0&quot;km&quot;\ "/>
    <numFmt numFmtId="207" formatCode="_-* #,##0.0000_-;\-* #,##0.0000_-;_-* &quot;-&quot;_-;_-@_-"/>
  </numFmts>
  <fonts count="8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바탕"/>
      <family val="1"/>
      <charset val="129"/>
    </font>
    <font>
      <b/>
      <sz val="22"/>
      <name val="HY견고딕"/>
      <family val="1"/>
      <charset val="129"/>
    </font>
    <font>
      <sz val="8"/>
      <name val="돋움"/>
      <family val="3"/>
      <charset val="129"/>
    </font>
    <font>
      <b/>
      <u/>
      <sz val="24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sz val="13"/>
      <name val="맑은 고딕"/>
      <family val="3"/>
      <charset val="129"/>
    </font>
    <font>
      <sz val="18"/>
      <color indexed="8"/>
      <name val="휴먼엑스포"/>
      <family val="1"/>
      <charset val="129"/>
    </font>
    <font>
      <b/>
      <sz val="9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바탕체"/>
      <family val="1"/>
      <charset val="129"/>
    </font>
    <font>
      <sz val="12"/>
      <name val="바탕체"/>
      <family val="1"/>
      <charset val="129"/>
    </font>
    <font>
      <b/>
      <sz val="16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8"/>
      <name val="맑은 고딕"/>
      <family val="3"/>
      <charset val="129"/>
    </font>
    <font>
      <b/>
      <sz val="22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11"/>
      <name val="맑은 고딕"/>
      <family val="3"/>
      <charset val="129"/>
    </font>
    <font>
      <vertAlign val="superscript"/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i/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3"/>
    </font>
    <font>
      <sz val="9"/>
      <color indexed="8"/>
      <name val="굴림체"/>
      <family val="3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rgb="FFFF0000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rgb="FFFF0000"/>
      <name val="맑은 고딕"/>
      <family val="3"/>
      <charset val="129"/>
    </font>
    <font>
      <sz val="11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theme="1"/>
      <name val="돋움"/>
      <family val="3"/>
      <charset val="129"/>
    </font>
    <font>
      <sz val="20"/>
      <color theme="1"/>
      <name val="HY견고딕"/>
      <family val="1"/>
      <charset val="129"/>
    </font>
    <font>
      <b/>
      <sz val="14"/>
      <color theme="1"/>
      <name val="맑은 고딕"/>
      <family val="3"/>
      <charset val="129"/>
    </font>
    <font>
      <sz val="14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2"/>
      <color theme="1"/>
      <name val="돋움"/>
      <family val="3"/>
      <charset val="129"/>
    </font>
    <font>
      <sz val="10"/>
      <color theme="1"/>
      <name val="한컴바탕"/>
      <family val="1"/>
      <charset val="129"/>
    </font>
    <font>
      <b/>
      <sz val="22"/>
      <color theme="1"/>
      <name val="HY견고딕"/>
      <family val="1"/>
      <charset val="129"/>
    </font>
    <font>
      <b/>
      <sz val="24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9" fontId="18" fillId="0" borderId="0" applyFont="0" applyFill="0" applyBorder="0" applyAlignment="0" applyProtection="0"/>
    <xf numFmtId="0" fontId="18" fillId="0" borderId="0"/>
    <xf numFmtId="41" fontId="18" fillId="0" borderId="0" applyFont="0" applyFill="0" applyBorder="0" applyAlignment="0" applyProtection="0">
      <alignment vertical="center"/>
    </xf>
    <xf numFmtId="0" fontId="54" fillId="0" borderId="0"/>
    <xf numFmtId="41" fontId="54" fillId="0" borderId="0"/>
    <xf numFmtId="0" fontId="55" fillId="0" borderId="0"/>
    <xf numFmtId="197" fontId="55" fillId="0" borderId="0"/>
    <xf numFmtId="0" fontId="54" fillId="0" borderId="0"/>
    <xf numFmtId="0" fontId="56" fillId="0" borderId="0"/>
    <xf numFmtId="9" fontId="1" fillId="0" borderId="0" applyFont="0" applyFill="0" applyBorder="0" applyAlignment="0" applyProtection="0">
      <alignment vertical="center"/>
    </xf>
    <xf numFmtId="0" fontId="51" fillId="0" borderId="0">
      <alignment vertical="center"/>
    </xf>
  </cellStyleXfs>
  <cellXfs count="511">
    <xf numFmtId="0" fontId="0" fillId="0" borderId="0" xfId="0">
      <alignment vertical="center"/>
    </xf>
    <xf numFmtId="0" fontId="3" fillId="0" borderId="1" xfId="2" applyBorder="1"/>
    <xf numFmtId="0" fontId="3" fillId="0" borderId="2" xfId="2" applyBorder="1"/>
    <xf numFmtId="0" fontId="3" fillId="0" borderId="3" xfId="2" applyBorder="1"/>
    <xf numFmtId="0" fontId="3" fillId="0" borderId="4" xfId="2" applyBorder="1"/>
    <xf numFmtId="0" fontId="3" fillId="0" borderId="0" xfId="2"/>
    <xf numFmtId="0" fontId="3" fillId="0" borderId="5" xfId="2" applyBorder="1"/>
    <xf numFmtId="0" fontId="8" fillId="0" borderId="0" xfId="3" applyFont="1"/>
    <xf numFmtId="0" fontId="9" fillId="0" borderId="0" xfId="3" applyFont="1"/>
    <xf numFmtId="0" fontId="10" fillId="0" borderId="0" xfId="3" applyFont="1"/>
    <xf numFmtId="0" fontId="11" fillId="0" borderId="0" xfId="3" applyFont="1"/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0" fillId="0" borderId="0" xfId="0" applyAlignment="1"/>
    <xf numFmtId="0" fontId="0" fillId="0" borderId="8" xfId="0" applyBorder="1" applyAlignment="1">
      <alignment horizontal="center" vertical="center"/>
    </xf>
    <xf numFmtId="41" fontId="0" fillId="0" borderId="8" xfId="1" applyFont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7" fontId="0" fillId="0" borderId="8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Border="1" applyAlignment="1">
      <alignment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0" fontId="20" fillId="0" borderId="0" xfId="0" applyFont="1">
      <alignment vertical="center"/>
    </xf>
    <xf numFmtId="0" fontId="20" fillId="0" borderId="3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41" fontId="20" fillId="0" borderId="28" xfId="1" applyFont="1" applyBorder="1" applyAlignment="1">
      <alignment vertical="center"/>
    </xf>
    <xf numFmtId="41" fontId="20" fillId="0" borderId="34" xfId="1" applyFont="1" applyBorder="1" applyAlignment="1">
      <alignment vertical="center"/>
    </xf>
    <xf numFmtId="41" fontId="21" fillId="0" borderId="36" xfId="1" applyFont="1" applyBorder="1" applyAlignment="1">
      <alignment vertical="center"/>
    </xf>
    <xf numFmtId="41" fontId="21" fillId="0" borderId="37" xfId="1" applyFont="1" applyBorder="1" applyAlignment="1">
      <alignment vertical="center"/>
    </xf>
    <xf numFmtId="41" fontId="22" fillId="0" borderId="0" xfId="1" applyFont="1">
      <alignment vertical="center"/>
    </xf>
    <xf numFmtId="41" fontId="24" fillId="2" borderId="8" xfId="1" applyFont="1" applyFill="1" applyBorder="1" applyAlignment="1" applyProtection="1">
      <alignment horizontal="left" vertical="center"/>
    </xf>
    <xf numFmtId="41" fontId="25" fillId="0" borderId="8" xfId="1" applyFont="1" applyBorder="1" applyAlignment="1">
      <alignment horizontal="left" vertical="center"/>
    </xf>
    <xf numFmtId="41" fontId="25" fillId="0" borderId="8" xfId="1" applyFont="1" applyBorder="1" applyAlignment="1">
      <alignment horizontal="center" vertical="center"/>
    </xf>
    <xf numFmtId="41" fontId="25" fillId="0" borderId="8" xfId="1" applyFont="1" applyBorder="1" applyAlignment="1">
      <alignment horizontal="left"/>
    </xf>
    <xf numFmtId="41" fontId="25" fillId="0" borderId="8" xfId="1" applyFont="1" applyBorder="1" applyAlignment="1"/>
    <xf numFmtId="41" fontId="24" fillId="0" borderId="8" xfId="1" applyFont="1" applyBorder="1" applyAlignment="1"/>
    <xf numFmtId="41" fontId="22" fillId="0" borderId="0" xfId="1" applyFont="1" applyAlignment="1">
      <alignment horizontal="left" vertical="center"/>
    </xf>
    <xf numFmtId="0" fontId="28" fillId="3" borderId="38" xfId="0" applyFont="1" applyFill="1" applyBorder="1" applyAlignment="1">
      <alignment horizontal="center" vertical="center" wrapText="1"/>
    </xf>
    <xf numFmtId="0" fontId="28" fillId="4" borderId="39" xfId="0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3" fontId="28" fillId="0" borderId="41" xfId="0" applyNumberFormat="1" applyFont="1" applyBorder="1" applyAlignment="1">
      <alignment horizontal="right" vertical="center" wrapText="1"/>
    </xf>
    <xf numFmtId="41" fontId="24" fillId="0" borderId="8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wrapText="1"/>
    </xf>
    <xf numFmtId="41" fontId="25" fillId="0" borderId="0" xfId="1" applyFont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179" fontId="24" fillId="0" borderId="0" xfId="0" applyNumberFormat="1" applyFont="1">
      <alignment vertical="center"/>
    </xf>
    <xf numFmtId="179" fontId="33" fillId="0" borderId="0" xfId="0" applyNumberFormat="1" applyFont="1">
      <alignment vertical="center"/>
    </xf>
    <xf numFmtId="179" fontId="24" fillId="0" borderId="0" xfId="0" quotePrefix="1" applyNumberFormat="1" applyFont="1">
      <alignment vertical="center"/>
    </xf>
    <xf numFmtId="179" fontId="24" fillId="0" borderId="0" xfId="0" quotePrefix="1" applyNumberFormat="1" applyFont="1" applyAlignment="1">
      <alignment horizontal="left" vertical="center"/>
    </xf>
    <xf numFmtId="183" fontId="24" fillId="0" borderId="0" xfId="0" applyNumberFormat="1" applyFont="1">
      <alignment vertical="center"/>
    </xf>
    <xf numFmtId="179" fontId="24" fillId="0" borderId="0" xfId="0" applyNumberFormat="1" applyFont="1" applyAlignment="1">
      <alignment horizontal="center" vertical="center"/>
    </xf>
    <xf numFmtId="183" fontId="24" fillId="0" borderId="0" xfId="0" applyNumberFormat="1" applyFont="1" applyAlignment="1">
      <alignment horizontal="center" vertical="center"/>
    </xf>
    <xf numFmtId="179" fontId="34" fillId="0" borderId="0" xfId="0" applyNumberFormat="1" applyFont="1">
      <alignment vertical="center"/>
    </xf>
    <xf numFmtId="184" fontId="24" fillId="0" borderId="0" xfId="0" quotePrefix="1" applyNumberFormat="1" applyFont="1">
      <alignment vertical="center"/>
    </xf>
    <xf numFmtId="0" fontId="24" fillId="0" borderId="0" xfId="0" quotePrefix="1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186" fontId="24" fillId="5" borderId="17" xfId="0" quotePrefix="1" applyNumberFormat="1" applyFont="1" applyFill="1" applyBorder="1" applyAlignment="1">
      <alignment horizontal="center" vertical="center"/>
    </xf>
    <xf numFmtId="179" fontId="24" fillId="5" borderId="17" xfId="0" quotePrefix="1" applyNumberFormat="1" applyFont="1" applyFill="1" applyBorder="1" applyAlignment="1">
      <alignment horizontal="center" vertical="center"/>
    </xf>
    <xf numFmtId="187" fontId="33" fillId="5" borderId="17" xfId="0" applyNumberFormat="1" applyFont="1" applyFill="1" applyBorder="1" applyAlignment="1">
      <alignment horizontal="center" vertical="center"/>
    </xf>
    <xf numFmtId="179" fontId="33" fillId="5" borderId="17" xfId="0" applyNumberFormat="1" applyFont="1" applyFill="1" applyBorder="1" applyAlignment="1">
      <alignment horizontal="center" vertical="center"/>
    </xf>
    <xf numFmtId="186" fontId="24" fillId="0" borderId="21" xfId="0" quotePrefix="1" applyNumberFormat="1" applyFont="1" applyBorder="1" applyAlignment="1">
      <alignment horizontal="center" vertical="center"/>
    </xf>
    <xf numFmtId="41" fontId="24" fillId="0" borderId="21" xfId="0" quotePrefix="1" applyNumberFormat="1" applyFont="1" applyBorder="1" applyAlignment="1">
      <alignment horizontal="center" vertical="center"/>
    </xf>
    <xf numFmtId="188" fontId="33" fillId="0" borderId="21" xfId="0" applyNumberFormat="1" applyFont="1" applyBorder="1" applyAlignment="1">
      <alignment horizontal="center" vertical="center"/>
    </xf>
    <xf numFmtId="179" fontId="33" fillId="0" borderId="21" xfId="0" applyNumberFormat="1" applyFont="1" applyBorder="1" applyAlignment="1">
      <alignment horizontal="center" vertical="center"/>
    </xf>
    <xf numFmtId="41" fontId="33" fillId="0" borderId="21" xfId="0" applyNumberFormat="1" applyFont="1" applyBorder="1" applyAlignment="1">
      <alignment horizontal="center" vertical="center"/>
    </xf>
    <xf numFmtId="179" fontId="33" fillId="0" borderId="8" xfId="0" applyNumberFormat="1" applyFont="1" applyBorder="1" applyAlignment="1">
      <alignment horizontal="center" vertical="center"/>
    </xf>
    <xf numFmtId="186" fontId="24" fillId="0" borderId="8" xfId="0" quotePrefix="1" applyNumberFormat="1" applyFont="1" applyBorder="1" applyAlignment="1">
      <alignment horizontal="center" vertical="center"/>
    </xf>
    <xf numFmtId="41" fontId="24" fillId="0" borderId="8" xfId="0" quotePrefix="1" applyNumberFormat="1" applyFont="1" applyBorder="1" applyAlignment="1">
      <alignment horizontal="center" vertical="center"/>
    </xf>
    <xf numFmtId="188" fontId="33" fillId="0" borderId="8" xfId="0" applyNumberFormat="1" applyFont="1" applyBorder="1" applyAlignment="1">
      <alignment horizontal="center" vertical="center"/>
    </xf>
    <xf numFmtId="41" fontId="33" fillId="0" borderId="13" xfId="0" applyNumberFormat="1" applyFont="1" applyBorder="1" applyAlignment="1">
      <alignment horizontal="center" vertical="center"/>
    </xf>
    <xf numFmtId="179" fontId="24" fillId="0" borderId="8" xfId="0" quotePrefix="1" applyNumberFormat="1" applyFont="1" applyBorder="1" applyAlignment="1">
      <alignment horizontal="center" vertical="center"/>
    </xf>
    <xf numFmtId="187" fontId="33" fillId="0" borderId="8" xfId="0" applyNumberFormat="1" applyFont="1" applyBorder="1" applyAlignment="1">
      <alignment horizontal="center" vertical="center"/>
    </xf>
    <xf numFmtId="179" fontId="33" fillId="0" borderId="6" xfId="0" applyNumberFormat="1" applyFont="1" applyBorder="1" applyAlignment="1">
      <alignment horizontal="center" vertical="center"/>
    </xf>
    <xf numFmtId="41" fontId="27" fillId="0" borderId="42" xfId="0" applyNumberFormat="1" applyFont="1" applyBorder="1" applyAlignment="1">
      <alignment horizontal="center" vertical="center"/>
    </xf>
    <xf numFmtId="179" fontId="33" fillId="0" borderId="7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178" fontId="25" fillId="0" borderId="8" xfId="0" applyNumberFormat="1" applyFont="1" applyBorder="1" applyAlignment="1">
      <alignment horizontal="center" vertical="center"/>
    </xf>
    <xf numFmtId="178" fontId="25" fillId="0" borderId="8" xfId="0" applyNumberFormat="1" applyFont="1" applyBorder="1">
      <alignment vertical="center"/>
    </xf>
    <xf numFmtId="178" fontId="25" fillId="0" borderId="8" xfId="0" applyNumberFormat="1" applyFont="1" applyBorder="1" applyAlignment="1">
      <alignment vertical="center" wrapText="1"/>
    </xf>
    <xf numFmtId="178" fontId="27" fillId="0" borderId="8" xfId="0" applyNumberFormat="1" applyFont="1" applyBorder="1">
      <alignment vertical="center"/>
    </xf>
    <xf numFmtId="178" fontId="27" fillId="0" borderId="8" xfId="0" applyNumberFormat="1" applyFont="1" applyBorder="1" applyAlignment="1">
      <alignment horizontal="center" vertical="center"/>
    </xf>
    <xf numFmtId="41" fontId="25" fillId="0" borderId="0" xfId="1" applyFont="1" applyAlignment="1"/>
    <xf numFmtId="41" fontId="25" fillId="0" borderId="8" xfId="1" applyFont="1" applyFill="1" applyBorder="1" applyAlignment="1">
      <alignment vertical="center"/>
    </xf>
    <xf numFmtId="41" fontId="27" fillId="0" borderId="8" xfId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0" fontId="30" fillId="0" borderId="8" xfId="0" applyFont="1" applyBorder="1" applyAlignment="1">
      <alignment horizontal="left" vertical="center"/>
    </xf>
    <xf numFmtId="0" fontId="29" fillId="0" borderId="0" xfId="0" applyFont="1">
      <alignment vertical="center"/>
    </xf>
    <xf numFmtId="41" fontId="24" fillId="0" borderId="8" xfId="1" applyFont="1" applyFill="1" applyBorder="1" applyAlignment="1">
      <alignment vertical="center"/>
    </xf>
    <xf numFmtId="41" fontId="27" fillId="0" borderId="8" xfId="1" applyFont="1" applyFill="1" applyBorder="1" applyAlignment="1">
      <alignment vertical="center"/>
    </xf>
    <xf numFmtId="41" fontId="25" fillId="0" borderId="8" xfId="1" applyFont="1" applyFill="1" applyBorder="1" applyAlignment="1"/>
    <xf numFmtId="41" fontId="24" fillId="0" borderId="8" xfId="1" applyFont="1" applyFill="1" applyBorder="1" applyAlignment="1"/>
    <xf numFmtId="181" fontId="24" fillId="0" borderId="8" xfId="1" applyNumberFormat="1" applyFont="1" applyFill="1" applyBorder="1" applyAlignment="1" applyProtection="1">
      <alignment vertical="center"/>
    </xf>
    <xf numFmtId="41" fontId="25" fillId="0" borderId="8" xfId="1" applyFont="1" applyFill="1" applyBorder="1" applyAlignment="1">
      <alignment horizontal="center" vertical="center"/>
    </xf>
    <xf numFmtId="182" fontId="25" fillId="0" borderId="8" xfId="1" applyNumberFormat="1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178" fontId="25" fillId="0" borderId="8" xfId="0" applyNumberFormat="1" applyFont="1" applyBorder="1" applyAlignment="1">
      <alignment vertical="center" shrinkToFit="1"/>
    </xf>
    <xf numFmtId="0" fontId="40" fillId="2" borderId="0" xfId="0" applyFont="1" applyFill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0" fontId="41" fillId="5" borderId="17" xfId="0" quotePrefix="1" applyFont="1" applyFill="1" applyBorder="1" applyAlignment="1">
      <alignment horizontal="center" vertical="center" wrapText="1"/>
    </xf>
    <xf numFmtId="0" fontId="41" fillId="5" borderId="18" xfId="0" quotePrefix="1" applyFont="1" applyFill="1" applyBorder="1" applyAlignment="1">
      <alignment horizontal="center" vertical="center" wrapText="1"/>
    </xf>
    <xf numFmtId="0" fontId="42" fillId="5" borderId="43" xfId="0" quotePrefix="1" applyFont="1" applyFill="1" applyBorder="1" applyAlignment="1">
      <alignment horizontal="center" vertical="center"/>
    </xf>
    <xf numFmtId="0" fontId="41" fillId="2" borderId="21" xfId="0" applyFont="1" applyFill="1" applyBorder="1" applyAlignment="1">
      <alignment horizontal="center" vertical="center" shrinkToFit="1"/>
    </xf>
    <xf numFmtId="0" fontId="41" fillId="0" borderId="21" xfId="0" applyFont="1" applyBorder="1" applyAlignment="1">
      <alignment horizontal="center" vertical="center" shrinkToFit="1"/>
    </xf>
    <xf numFmtId="0" fontId="41" fillId="0" borderId="21" xfId="0" quotePrefix="1" applyFont="1" applyBorder="1" applyAlignment="1">
      <alignment horizontal="center" vertical="center" shrinkToFit="1"/>
    </xf>
    <xf numFmtId="191" fontId="41" fillId="0" borderId="21" xfId="0" quotePrefix="1" applyNumberFormat="1" applyFont="1" applyBorder="1" applyAlignment="1">
      <alignment horizontal="center" vertical="center" shrinkToFit="1"/>
    </xf>
    <xf numFmtId="41" fontId="41" fillId="0" borderId="21" xfId="0" applyNumberFormat="1" applyFont="1" applyBorder="1" applyAlignment="1">
      <alignment horizontal="center" vertical="center" shrinkToFit="1"/>
    </xf>
    <xf numFmtId="41" fontId="41" fillId="0" borderId="11" xfId="0" applyNumberFormat="1" applyFont="1" applyBorder="1" applyAlignment="1">
      <alignment horizontal="center" vertical="center" shrinkToFit="1"/>
    </xf>
    <xf numFmtId="189" fontId="42" fillId="0" borderId="44" xfId="0" applyNumberFormat="1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8" xfId="0" quotePrefix="1" applyFont="1" applyBorder="1" applyAlignment="1">
      <alignment horizontal="center" vertical="center" shrinkToFit="1"/>
    </xf>
    <xf numFmtId="41" fontId="41" fillId="0" borderId="8" xfId="0" applyNumberFormat="1" applyFont="1" applyBorder="1" applyAlignment="1">
      <alignment horizontal="left" vertical="center" shrinkToFit="1"/>
    </xf>
    <xf numFmtId="41" fontId="41" fillId="0" borderId="6" xfId="0" applyNumberFormat="1" applyFont="1" applyBorder="1" applyAlignment="1">
      <alignment horizontal="center" vertical="center" shrinkToFit="1"/>
    </xf>
    <xf numFmtId="189" fontId="42" fillId="0" borderId="45" xfId="0" applyNumberFormat="1" applyFont="1" applyBorder="1" applyAlignment="1">
      <alignment horizontal="center" vertical="center" shrinkToFit="1"/>
    </xf>
    <xf numFmtId="191" fontId="41" fillId="0" borderId="8" xfId="0" quotePrefix="1" applyNumberFormat="1" applyFont="1" applyBorder="1" applyAlignment="1">
      <alignment horizontal="center" vertical="center" shrinkToFit="1"/>
    </xf>
    <xf numFmtId="41" fontId="41" fillId="0" borderId="8" xfId="0" applyNumberFormat="1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41" fontId="41" fillId="0" borderId="8" xfId="0" applyNumberFormat="1" applyFont="1" applyBorder="1" applyAlignment="1">
      <alignment horizontal="center" vertical="center"/>
    </xf>
    <xf numFmtId="41" fontId="41" fillId="0" borderId="6" xfId="0" applyNumberFormat="1" applyFont="1" applyBorder="1" applyAlignment="1">
      <alignment horizontal="center" vertical="center"/>
    </xf>
    <xf numFmtId="189" fontId="42" fillId="0" borderId="46" xfId="0" applyNumberFormat="1" applyFont="1" applyBorder="1" applyAlignment="1">
      <alignment horizontal="center" vertical="center" shrinkToFit="1"/>
    </xf>
    <xf numFmtId="0" fontId="41" fillId="5" borderId="17" xfId="0" applyFont="1" applyFill="1" applyBorder="1" applyAlignment="1">
      <alignment horizontal="center" vertical="center"/>
    </xf>
    <xf numFmtId="0" fontId="41" fillId="5" borderId="17" xfId="0" applyFont="1" applyFill="1" applyBorder="1" applyAlignment="1">
      <alignment horizontal="center" vertical="center" wrapText="1"/>
    </xf>
    <xf numFmtId="0" fontId="41" fillId="5" borderId="19" xfId="0" quotePrefix="1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191" fontId="41" fillId="0" borderId="21" xfId="0" quotePrefix="1" applyNumberFormat="1" applyFont="1" applyBorder="1" applyAlignment="1">
      <alignment horizontal="center" vertical="center" wrapText="1"/>
    </xf>
    <xf numFmtId="41" fontId="41" fillId="0" borderId="21" xfId="0" applyNumberFormat="1" applyFont="1" applyBorder="1" applyAlignment="1">
      <alignment horizontal="center" vertical="center"/>
    </xf>
    <xf numFmtId="189" fontId="41" fillId="0" borderId="21" xfId="0" applyNumberFormat="1" applyFont="1" applyBorder="1" applyAlignment="1">
      <alignment horizontal="center" vertical="center"/>
    </xf>
    <xf numFmtId="189" fontId="41" fillId="0" borderId="21" xfId="0" applyNumberFormat="1" applyFont="1" applyBorder="1" applyAlignment="1">
      <alignment horizontal="center" vertical="center" wrapText="1"/>
    </xf>
    <xf numFmtId="0" fontId="41" fillId="0" borderId="12" xfId="0" quotePrefix="1" applyFont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left" vertical="center"/>
    </xf>
    <xf numFmtId="0" fontId="41" fillId="0" borderId="21" xfId="0" quotePrefix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 shrinkToFit="1"/>
    </xf>
    <xf numFmtId="191" fontId="41" fillId="0" borderId="0" xfId="0" quotePrefix="1" applyNumberFormat="1" applyFont="1" applyAlignment="1">
      <alignment horizontal="center" vertical="center" wrapText="1"/>
    </xf>
    <xf numFmtId="192" fontId="41" fillId="0" borderId="0" xfId="0" applyNumberFormat="1" applyFont="1" applyAlignment="1">
      <alignment horizontal="right" vertical="center"/>
    </xf>
    <xf numFmtId="189" fontId="41" fillId="0" borderId="0" xfId="0" applyNumberFormat="1" applyFont="1" applyAlignment="1">
      <alignment horizontal="center" vertical="center"/>
    </xf>
    <xf numFmtId="189" fontId="41" fillId="0" borderId="0" xfId="0" applyNumberFormat="1" applyFont="1" applyAlignment="1">
      <alignment horizontal="center" vertical="center" wrapText="1"/>
    </xf>
    <xf numFmtId="189" fontId="42" fillId="0" borderId="0" xfId="0" applyNumberFormat="1" applyFont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/>
    </xf>
    <xf numFmtId="0" fontId="47" fillId="2" borderId="8" xfId="0" applyFont="1" applyFill="1" applyBorder="1" applyAlignment="1">
      <alignment horizontal="distributed" vertical="center"/>
    </xf>
    <xf numFmtId="194" fontId="47" fillId="2" borderId="8" xfId="0" applyNumberFormat="1" applyFont="1" applyFill="1" applyBorder="1">
      <alignment vertical="center"/>
    </xf>
    <xf numFmtId="41" fontId="47" fillId="2" borderId="8" xfId="1" applyFont="1" applyFill="1" applyBorder="1" applyAlignment="1" applyProtection="1">
      <alignment vertical="center"/>
    </xf>
    <xf numFmtId="0" fontId="48" fillId="2" borderId="8" xfId="0" quotePrefix="1" applyFont="1" applyFill="1" applyBorder="1" applyAlignment="1">
      <alignment horizontal="center" vertical="center"/>
    </xf>
    <xf numFmtId="190" fontId="47" fillId="2" borderId="8" xfId="0" applyNumberFormat="1" applyFont="1" applyFill="1" applyBorder="1">
      <alignment vertical="center"/>
    </xf>
    <xf numFmtId="0" fontId="49" fillId="2" borderId="8" xfId="0" applyFont="1" applyFill="1" applyBorder="1" applyAlignment="1">
      <alignment horizontal="distributed" vertical="center"/>
    </xf>
    <xf numFmtId="0" fontId="49" fillId="2" borderId="8" xfId="0" applyFont="1" applyFill="1" applyBorder="1" applyAlignment="1">
      <alignment horizontal="center" vertical="center" shrinkToFit="1"/>
    </xf>
    <xf numFmtId="0" fontId="49" fillId="2" borderId="8" xfId="0" applyFont="1" applyFill="1" applyBorder="1" applyAlignment="1">
      <alignment horizontal="center" vertical="center"/>
    </xf>
    <xf numFmtId="41" fontId="49" fillId="2" borderId="8" xfId="1" applyFont="1" applyFill="1" applyBorder="1" applyAlignment="1" applyProtection="1">
      <alignment vertical="center"/>
    </xf>
    <xf numFmtId="194" fontId="49" fillId="2" borderId="8" xfId="0" applyNumberFormat="1" applyFont="1" applyFill="1" applyBorder="1">
      <alignment vertical="center"/>
    </xf>
    <xf numFmtId="0" fontId="43" fillId="0" borderId="0" xfId="0" applyFont="1">
      <alignment vertical="center"/>
    </xf>
    <xf numFmtId="0" fontId="51" fillId="0" borderId="0" xfId="0" applyFont="1">
      <alignment vertical="center"/>
    </xf>
    <xf numFmtId="0" fontId="43" fillId="0" borderId="0" xfId="0" quotePrefix="1" applyFont="1">
      <alignment vertical="center"/>
    </xf>
    <xf numFmtId="0" fontId="0" fillId="0" borderId="8" xfId="0" applyBorder="1" applyAlignment="1">
      <alignment horizontal="center" vertical="center" wrapText="1"/>
    </xf>
    <xf numFmtId="41" fontId="0" fillId="0" borderId="0" xfId="1" applyFont="1" applyBorder="1" applyAlignment="1">
      <alignment vertical="center"/>
    </xf>
    <xf numFmtId="0" fontId="0" fillId="0" borderId="0" xfId="0" quotePrefix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95" fontId="0" fillId="0" borderId="0" xfId="1" applyNumberFormat="1" applyFont="1" applyBorder="1" applyAlignment="1">
      <alignment vertical="center"/>
    </xf>
    <xf numFmtId="177" fontId="0" fillId="0" borderId="0" xfId="1" applyNumberFormat="1" applyFont="1" applyBorder="1" applyAlignment="1">
      <alignment vertical="center"/>
    </xf>
    <xf numFmtId="0" fontId="45" fillId="0" borderId="0" xfId="0" applyFont="1">
      <alignment vertical="center"/>
    </xf>
    <xf numFmtId="41" fontId="51" fillId="0" borderId="0" xfId="1" applyFont="1">
      <alignment vertical="center"/>
    </xf>
    <xf numFmtId="182" fontId="43" fillId="0" borderId="0" xfId="1" applyNumberFormat="1" applyFont="1">
      <alignment vertical="center"/>
    </xf>
    <xf numFmtId="41" fontId="25" fillId="0" borderId="0" xfId="1" applyFont="1" applyAlignment="1">
      <alignment horizontal="center"/>
    </xf>
    <xf numFmtId="0" fontId="51" fillId="0" borderId="0" xfId="9" applyFont="1" applyAlignment="1">
      <alignment vertical="center"/>
    </xf>
    <xf numFmtId="197" fontId="51" fillId="0" borderId="0" xfId="10" applyFont="1" applyAlignment="1">
      <alignment vertical="center"/>
    </xf>
    <xf numFmtId="41" fontId="51" fillId="0" borderId="0" xfId="1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51" fillId="0" borderId="8" xfId="11" applyFont="1" applyBorder="1" applyAlignment="1">
      <alignment horizontal="center" vertical="center"/>
    </xf>
    <xf numFmtId="0" fontId="51" fillId="0" borderId="8" xfId="11" applyFont="1" applyBorder="1" applyAlignment="1">
      <alignment vertical="center"/>
    </xf>
    <xf numFmtId="41" fontId="51" fillId="0" borderId="8" xfId="1" applyFont="1" applyBorder="1" applyAlignment="1">
      <alignment vertical="center"/>
    </xf>
    <xf numFmtId="41" fontId="51" fillId="0" borderId="8" xfId="1" applyFont="1" applyBorder="1" applyAlignment="1">
      <alignment horizontal="center" vertical="center"/>
    </xf>
    <xf numFmtId="0" fontId="51" fillId="0" borderId="8" xfId="1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41" fontId="37" fillId="0" borderId="8" xfId="1" applyFont="1" applyBorder="1" applyAlignment="1">
      <alignment vertical="center"/>
    </xf>
    <xf numFmtId="178" fontId="23" fillId="5" borderId="8" xfId="0" applyNumberFormat="1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0" fontId="20" fillId="5" borderId="32" xfId="0" applyFont="1" applyFill="1" applyBorder="1" applyAlignment="1">
      <alignment horizontal="center" vertical="center"/>
    </xf>
    <xf numFmtId="0" fontId="10" fillId="0" borderId="0" xfId="3" applyFont="1" applyAlignment="1">
      <alignment horizontal="center"/>
    </xf>
    <xf numFmtId="41" fontId="30" fillId="5" borderId="8" xfId="1" applyFont="1" applyFill="1" applyBorder="1" applyAlignment="1">
      <alignment horizontal="center" vertical="center" wrapText="1"/>
    </xf>
    <xf numFmtId="41" fontId="29" fillId="5" borderId="8" xfId="1" applyFont="1" applyFill="1" applyBorder="1" applyAlignment="1">
      <alignment horizontal="center" vertical="center"/>
    </xf>
    <xf numFmtId="0" fontId="41" fillId="5" borderId="17" xfId="0" quotePrefix="1" applyFont="1" applyFill="1" applyBorder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181" fontId="0" fillId="0" borderId="8" xfId="1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41" fontId="27" fillId="0" borderId="8" xfId="1" applyFont="1" applyFill="1" applyBorder="1" applyAlignment="1">
      <alignment horizontal="center" vertical="center"/>
    </xf>
    <xf numFmtId="178" fontId="27" fillId="0" borderId="7" xfId="0" applyNumberFormat="1" applyFont="1" applyBorder="1">
      <alignment vertical="center"/>
    </xf>
    <xf numFmtId="41" fontId="0" fillId="0" borderId="8" xfId="0" applyNumberFormat="1" applyBorder="1">
      <alignment vertical="center"/>
    </xf>
    <xf numFmtId="0" fontId="0" fillId="0" borderId="8" xfId="0" applyBorder="1">
      <alignment vertical="center"/>
    </xf>
    <xf numFmtId="2" fontId="0" fillId="0" borderId="0" xfId="0" applyNumberFormat="1">
      <alignment vertical="center"/>
    </xf>
    <xf numFmtId="41" fontId="28" fillId="0" borderId="41" xfId="1" applyFont="1" applyBorder="1" applyAlignment="1">
      <alignment horizontal="right" vertical="center" wrapText="1"/>
    </xf>
    <xf numFmtId="0" fontId="46" fillId="2" borderId="8" xfId="0" applyFont="1" applyFill="1" applyBorder="1" applyAlignment="1">
      <alignment horizontal="left" vertical="center"/>
    </xf>
    <xf numFmtId="0" fontId="46" fillId="2" borderId="8" xfId="0" applyFont="1" applyFill="1" applyBorder="1">
      <alignment vertical="center"/>
    </xf>
    <xf numFmtId="37" fontId="47" fillId="2" borderId="8" xfId="0" applyNumberFormat="1" applyFont="1" applyFill="1" applyBorder="1">
      <alignment vertical="center"/>
    </xf>
    <xf numFmtId="0" fontId="47" fillId="2" borderId="8" xfId="0" applyFont="1" applyFill="1" applyBorder="1">
      <alignment vertical="center"/>
    </xf>
    <xf numFmtId="198" fontId="47" fillId="2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41" fontId="47" fillId="0" borderId="8" xfId="1" applyFont="1" applyFill="1" applyBorder="1" applyAlignment="1" applyProtection="1">
      <alignment vertical="center"/>
    </xf>
    <xf numFmtId="0" fontId="41" fillId="2" borderId="20" xfId="0" quotePrefix="1" applyFont="1" applyFill="1" applyBorder="1" applyAlignment="1">
      <alignment horizontal="center" vertical="center"/>
    </xf>
    <xf numFmtId="2" fontId="43" fillId="0" borderId="0" xfId="0" applyNumberFormat="1" applyFont="1">
      <alignment vertical="center"/>
    </xf>
    <xf numFmtId="0" fontId="56" fillId="0" borderId="0" xfId="12"/>
    <xf numFmtId="3" fontId="58" fillId="0" borderId="22" xfId="12" applyNumberFormat="1" applyFont="1" applyBorder="1" applyAlignment="1">
      <alignment horizontal="center" vertical="center"/>
    </xf>
    <xf numFmtId="3" fontId="58" fillId="0" borderId="23" xfId="12" applyNumberFormat="1" applyFont="1" applyBorder="1" applyAlignment="1">
      <alignment horizontal="center" vertical="center"/>
    </xf>
    <xf numFmtId="3" fontId="58" fillId="0" borderId="60" xfId="12" applyNumberFormat="1" applyFont="1" applyBorder="1" applyAlignment="1">
      <alignment horizontal="center" vertical="center"/>
    </xf>
    <xf numFmtId="3" fontId="58" fillId="0" borderId="7" xfId="12" applyNumberFormat="1" applyFont="1" applyBorder="1" applyAlignment="1">
      <alignment horizontal="center" vertical="center"/>
    </xf>
    <xf numFmtId="3" fontId="58" fillId="0" borderId="24" xfId="12" applyNumberFormat="1" applyFont="1" applyBorder="1" applyAlignment="1">
      <alignment horizontal="left" vertical="center"/>
    </xf>
    <xf numFmtId="3" fontId="58" fillId="0" borderId="25" xfId="12" applyNumberFormat="1" applyFont="1" applyBorder="1" applyAlignment="1">
      <alignment horizontal="left" vertical="center"/>
    </xf>
    <xf numFmtId="3" fontId="59" fillId="0" borderId="61" xfId="12" applyNumberFormat="1" applyFont="1" applyBorder="1" applyAlignment="1">
      <alignment vertical="center"/>
    </xf>
    <xf numFmtId="3" fontId="59" fillId="0" borderId="62" xfId="12" applyNumberFormat="1" applyFont="1" applyBorder="1" applyAlignment="1">
      <alignment horizontal="right" vertical="center"/>
    </xf>
    <xf numFmtId="3" fontId="59" fillId="0" borderId="25" xfId="12" applyNumberFormat="1" applyFont="1" applyBorder="1" applyAlignment="1">
      <alignment horizontal="right" vertical="center"/>
    </xf>
    <xf numFmtId="3" fontId="59" fillId="0" borderId="27" xfId="12" applyNumberFormat="1" applyFont="1" applyBorder="1" applyAlignment="1">
      <alignment vertical="center"/>
    </xf>
    <xf numFmtId="3" fontId="59" fillId="0" borderId="24" xfId="12" applyNumberFormat="1" applyFont="1" applyBorder="1" applyAlignment="1">
      <alignment horizontal="left" vertical="center"/>
    </xf>
    <xf numFmtId="3" fontId="59" fillId="0" borderId="25" xfId="12" applyNumberFormat="1" applyFont="1" applyBorder="1" applyAlignment="1">
      <alignment horizontal="left" vertical="center"/>
    </xf>
    <xf numFmtId="3" fontId="59" fillId="0" borderId="62" xfId="12" applyNumberFormat="1" applyFont="1" applyBorder="1" applyAlignment="1">
      <alignment vertical="center"/>
    </xf>
    <xf numFmtId="3" fontId="59" fillId="0" borderId="25" xfId="12" applyNumberFormat="1" applyFont="1" applyBorder="1" applyAlignment="1">
      <alignment vertical="center"/>
    </xf>
    <xf numFmtId="199" fontId="59" fillId="0" borderId="25" xfId="12" applyNumberFormat="1" applyFont="1" applyBorder="1" applyAlignment="1">
      <alignment vertical="center"/>
    </xf>
    <xf numFmtId="3" fontId="59" fillId="0" borderId="27" xfId="12" applyNumberFormat="1" applyFont="1" applyBorder="1" applyAlignment="1">
      <alignment horizontal="left" vertical="center"/>
    </xf>
    <xf numFmtId="181" fontId="11" fillId="0" borderId="0" xfId="3" applyNumberFormat="1" applyFont="1"/>
    <xf numFmtId="0" fontId="11" fillId="0" borderId="0" xfId="3" applyFont="1" applyAlignment="1">
      <alignment wrapText="1"/>
    </xf>
    <xf numFmtId="0" fontId="11" fillId="0" borderId="0" xfId="3" quotePrefix="1" applyFont="1"/>
    <xf numFmtId="0" fontId="11" fillId="0" borderId="0" xfId="3" applyFont="1" applyAlignment="1">
      <alignment horizontal="right"/>
    </xf>
    <xf numFmtId="0" fontId="11" fillId="0" borderId="0" xfId="3" applyFont="1" applyAlignment="1">
      <alignment horizontal="left"/>
    </xf>
    <xf numFmtId="41" fontId="25" fillId="0" borderId="8" xfId="1" applyFont="1" applyFill="1" applyBorder="1" applyAlignment="1">
      <alignment horizontal="center" vertical="center" wrapText="1"/>
    </xf>
    <xf numFmtId="41" fontId="27" fillId="0" borderId="8" xfId="1" applyFont="1" applyFill="1" applyBorder="1" applyAlignment="1" applyProtection="1">
      <alignment horizontal="center" vertical="center"/>
    </xf>
    <xf numFmtId="41" fontId="27" fillId="0" borderId="8" xfId="1" applyFont="1" applyFill="1" applyBorder="1" applyAlignment="1">
      <alignment horizontal="left" vertical="center"/>
    </xf>
    <xf numFmtId="41" fontId="24" fillId="0" borderId="8" xfId="1" applyFont="1" applyFill="1" applyBorder="1" applyAlignment="1">
      <alignment horizontal="center" vertical="center" wrapText="1"/>
    </xf>
    <xf numFmtId="41" fontId="25" fillId="0" borderId="8" xfId="1" applyFont="1" applyFill="1" applyBorder="1" applyAlignment="1">
      <alignment horizontal="left" vertical="center"/>
    </xf>
    <xf numFmtId="41" fontId="24" fillId="0" borderId="8" xfId="1" applyFont="1" applyFill="1" applyBorder="1" applyAlignment="1" applyProtection="1">
      <alignment horizontal="left" vertical="center"/>
    </xf>
    <xf numFmtId="41" fontId="24" fillId="0" borderId="8" xfId="1" applyFont="1" applyFill="1" applyBorder="1" applyAlignment="1" applyProtection="1">
      <alignment horizontal="center" vertical="center"/>
    </xf>
    <xf numFmtId="180" fontId="24" fillId="0" borderId="8" xfId="1" applyNumberFormat="1" applyFont="1" applyFill="1" applyBorder="1" applyAlignment="1" applyProtection="1">
      <alignment vertical="center"/>
    </xf>
    <xf numFmtId="41" fontId="24" fillId="0" borderId="8" xfId="1" applyFont="1" applyFill="1" applyBorder="1" applyAlignment="1" applyProtection="1">
      <alignment vertical="center"/>
    </xf>
    <xf numFmtId="41" fontId="25" fillId="0" borderId="8" xfId="1" applyFont="1" applyFill="1" applyBorder="1" applyAlignment="1">
      <alignment horizontal="left"/>
    </xf>
    <xf numFmtId="41" fontId="24" fillId="0" borderId="8" xfId="1" applyFont="1" applyFill="1" applyBorder="1" applyAlignment="1">
      <alignment horizontal="center" wrapText="1"/>
    </xf>
    <xf numFmtId="41" fontId="25" fillId="0" borderId="8" xfId="1" applyFont="1" applyFill="1" applyBorder="1" applyAlignment="1">
      <alignment horizontal="center" wrapText="1"/>
    </xf>
    <xf numFmtId="41" fontId="25" fillId="0" borderId="8" xfId="1" applyFont="1" applyFill="1" applyBorder="1" applyAlignment="1">
      <alignment horizontal="left" vertical="center" wrapText="1"/>
    </xf>
    <xf numFmtId="41" fontId="26" fillId="0" borderId="8" xfId="1" applyFont="1" applyFill="1" applyBorder="1" applyAlignment="1" applyProtection="1">
      <alignment horizontal="left" vertical="center"/>
    </xf>
    <xf numFmtId="41" fontId="27" fillId="0" borderId="14" xfId="1" applyFont="1" applyFill="1" applyBorder="1" applyAlignment="1">
      <alignment horizontal="left" vertical="center"/>
    </xf>
    <xf numFmtId="41" fontId="27" fillId="0" borderId="14" xfId="1" applyFont="1" applyFill="1" applyBorder="1" applyAlignment="1">
      <alignment horizontal="left" vertical="center" wrapText="1"/>
    </xf>
    <xf numFmtId="41" fontId="24" fillId="0" borderId="14" xfId="1" applyFont="1" applyFill="1" applyBorder="1" applyAlignment="1">
      <alignment horizontal="left" vertical="center" wrapText="1"/>
    </xf>
    <xf numFmtId="181" fontId="25" fillId="0" borderId="8" xfId="1" applyNumberFormat="1" applyFont="1" applyFill="1" applyBorder="1" applyAlignment="1">
      <alignment horizontal="center" vertical="center"/>
    </xf>
    <xf numFmtId="180" fontId="51" fillId="0" borderId="0" xfId="1" applyNumberFormat="1" applyFont="1">
      <alignment vertical="center"/>
    </xf>
    <xf numFmtId="0" fontId="53" fillId="0" borderId="7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53" fillId="0" borderId="7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left" vertical="center"/>
    </xf>
    <xf numFmtId="3" fontId="15" fillId="0" borderId="25" xfId="0" applyNumberFormat="1" applyFont="1" applyBorder="1" applyAlignment="1">
      <alignment horizontal="center" vertical="center"/>
    </xf>
    <xf numFmtId="41" fontId="16" fillId="0" borderId="26" xfId="1" applyFont="1" applyFill="1" applyBorder="1" applyAlignment="1">
      <alignment horizontal="right" vertical="center"/>
    </xf>
    <xf numFmtId="14" fontId="15" fillId="0" borderId="27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41" fontId="16" fillId="0" borderId="28" xfId="1" applyFont="1" applyFill="1" applyBorder="1" applyAlignment="1">
      <alignment horizontal="right" vertical="center"/>
    </xf>
    <xf numFmtId="41" fontId="15" fillId="0" borderId="25" xfId="1" applyFont="1" applyFill="1" applyBorder="1" applyAlignment="1">
      <alignment vertical="center"/>
    </xf>
    <xf numFmtId="178" fontId="30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2" fillId="0" borderId="8" xfId="0" applyFont="1" applyBorder="1">
      <alignment vertical="center"/>
    </xf>
    <xf numFmtId="0" fontId="61" fillId="0" borderId="0" xfId="0" applyFont="1">
      <alignment vertical="center"/>
    </xf>
    <xf numFmtId="177" fontId="62" fillId="0" borderId="8" xfId="1" applyNumberFormat="1" applyFont="1" applyBorder="1" applyAlignment="1">
      <alignment vertical="center"/>
    </xf>
    <xf numFmtId="193" fontId="62" fillId="0" borderId="8" xfId="1" applyNumberFormat="1" applyFont="1" applyBorder="1" applyAlignment="1">
      <alignment vertical="center"/>
    </xf>
    <xf numFmtId="41" fontId="60" fillId="0" borderId="0" xfId="1" applyFont="1">
      <alignment vertical="center"/>
    </xf>
    <xf numFmtId="201" fontId="25" fillId="0" borderId="0" xfId="1" applyNumberFormat="1" applyFont="1">
      <alignment vertical="center"/>
    </xf>
    <xf numFmtId="41" fontId="25" fillId="0" borderId="0" xfId="1" applyFont="1">
      <alignment vertical="center"/>
    </xf>
    <xf numFmtId="41" fontId="24" fillId="0" borderId="0" xfId="1" applyFont="1" applyAlignment="1">
      <alignment horizontal="center" vertical="center"/>
    </xf>
    <xf numFmtId="41" fontId="36" fillId="0" borderId="0" xfId="1" applyFont="1" applyAlignment="1">
      <alignment horizontal="center" vertical="center"/>
    </xf>
    <xf numFmtId="0" fontId="63" fillId="2" borderId="8" xfId="0" applyFont="1" applyFill="1" applyBorder="1" applyAlignment="1">
      <alignment horizontal="left" vertical="center"/>
    </xf>
    <xf numFmtId="0" fontId="63" fillId="2" borderId="8" xfId="0" applyFont="1" applyFill="1" applyBorder="1">
      <alignment vertical="center"/>
    </xf>
    <xf numFmtId="0" fontId="64" fillId="2" borderId="8" xfId="0" applyFont="1" applyFill="1" applyBorder="1" applyAlignment="1">
      <alignment horizontal="center" vertical="center"/>
    </xf>
    <xf numFmtId="37" fontId="64" fillId="2" borderId="8" xfId="0" applyNumberFormat="1" applyFont="1" applyFill="1" applyBorder="1">
      <alignment vertical="center"/>
    </xf>
    <xf numFmtId="0" fontId="64" fillId="2" borderId="8" xfId="0" applyFont="1" applyFill="1" applyBorder="1">
      <alignment vertical="center"/>
    </xf>
    <xf numFmtId="198" fontId="64" fillId="2" borderId="8" xfId="0" applyNumberFormat="1" applyFont="1" applyFill="1" applyBorder="1" applyAlignment="1">
      <alignment horizontal="center" vertical="center"/>
    </xf>
    <xf numFmtId="0" fontId="64" fillId="2" borderId="8" xfId="0" applyFont="1" applyFill="1" applyBorder="1" applyAlignment="1">
      <alignment horizontal="distributed" vertical="center"/>
    </xf>
    <xf numFmtId="190" fontId="64" fillId="2" borderId="8" xfId="0" applyNumberFormat="1" applyFont="1" applyFill="1" applyBorder="1">
      <alignment vertical="center"/>
    </xf>
    <xf numFmtId="41" fontId="64" fillId="2" borderId="8" xfId="1" applyFont="1" applyFill="1" applyBorder="1" applyAlignment="1" applyProtection="1">
      <alignment vertical="center"/>
    </xf>
    <xf numFmtId="194" fontId="64" fillId="2" borderId="8" xfId="0" applyNumberFormat="1" applyFont="1" applyFill="1" applyBorder="1">
      <alignment vertical="center"/>
    </xf>
    <xf numFmtId="41" fontId="64" fillId="0" borderId="8" xfId="1" applyFont="1" applyFill="1" applyBorder="1" applyAlignment="1" applyProtection="1">
      <alignment vertical="center"/>
    </xf>
    <xf numFmtId="41" fontId="60" fillId="0" borderId="0" xfId="1" applyFont="1" applyAlignment="1">
      <alignment horizontal="center" vertical="center"/>
    </xf>
    <xf numFmtId="41" fontId="62" fillId="0" borderId="0" xfId="1" applyFont="1">
      <alignment vertical="center"/>
    </xf>
    <xf numFmtId="41" fontId="66" fillId="2" borderId="8" xfId="1" applyFont="1" applyFill="1" applyBorder="1" applyAlignment="1" applyProtection="1">
      <alignment horizontal="left" vertical="center"/>
    </xf>
    <xf numFmtId="41" fontId="66" fillId="0" borderId="8" xfId="1" applyFont="1" applyBorder="1" applyAlignment="1">
      <alignment horizontal="left" vertical="center"/>
    </xf>
    <xf numFmtId="181" fontId="66" fillId="0" borderId="8" xfId="1" applyNumberFormat="1" applyFont="1" applyFill="1" applyBorder="1" applyAlignment="1" applyProtection="1">
      <alignment vertical="center"/>
    </xf>
    <xf numFmtId="41" fontId="66" fillId="0" borderId="8" xfId="1" applyFont="1" applyBorder="1" applyAlignment="1">
      <alignment horizontal="center" vertical="center"/>
    </xf>
    <xf numFmtId="41" fontId="66" fillId="0" borderId="8" xfId="1" applyFont="1" applyFill="1" applyBorder="1" applyAlignment="1">
      <alignment vertical="center"/>
    </xf>
    <xf numFmtId="41" fontId="66" fillId="0" borderId="8" xfId="1" applyFont="1" applyFill="1" applyBorder="1" applyAlignment="1">
      <alignment horizontal="center" vertical="center" wrapText="1"/>
    </xf>
    <xf numFmtId="41" fontId="67" fillId="0" borderId="8" xfId="1" applyFont="1" applyFill="1" applyBorder="1" applyAlignment="1" applyProtection="1">
      <alignment horizontal="center" vertical="center"/>
    </xf>
    <xf numFmtId="41" fontId="67" fillId="0" borderId="8" xfId="1" applyFont="1" applyFill="1" applyBorder="1" applyAlignment="1">
      <alignment horizontal="left" vertical="center"/>
    </xf>
    <xf numFmtId="41" fontId="67" fillId="0" borderId="8" xfId="1" applyFont="1" applyFill="1" applyBorder="1" applyAlignment="1">
      <alignment vertical="center"/>
    </xf>
    <xf numFmtId="41" fontId="66" fillId="0" borderId="8" xfId="1" applyFont="1" applyFill="1" applyBorder="1" applyAlignment="1">
      <alignment horizontal="left" vertical="center"/>
    </xf>
    <xf numFmtId="41" fontId="66" fillId="0" borderId="8" xfId="1" applyFont="1" applyFill="1" applyBorder="1" applyAlignment="1" applyProtection="1">
      <alignment horizontal="left" vertical="center"/>
    </xf>
    <xf numFmtId="41" fontId="66" fillId="0" borderId="8" xfId="1" applyFont="1" applyFill="1" applyBorder="1" applyAlignment="1" applyProtection="1">
      <alignment horizontal="center" vertical="center"/>
    </xf>
    <xf numFmtId="180" fontId="66" fillId="0" borderId="8" xfId="1" applyNumberFormat="1" applyFont="1" applyFill="1" applyBorder="1" applyAlignment="1" applyProtection="1">
      <alignment vertical="center"/>
    </xf>
    <xf numFmtId="41" fontId="66" fillId="0" borderId="8" xfId="1" applyFont="1" applyFill="1" applyBorder="1" applyAlignment="1">
      <alignment horizontal="left"/>
    </xf>
    <xf numFmtId="41" fontId="66" fillId="0" borderId="8" xfId="1" applyFont="1" applyFill="1" applyBorder="1" applyAlignment="1"/>
    <xf numFmtId="41" fontId="66" fillId="0" borderId="8" xfId="1" applyFont="1" applyFill="1" applyBorder="1" applyAlignment="1">
      <alignment horizontal="center" wrapText="1"/>
    </xf>
    <xf numFmtId="41" fontId="66" fillId="0" borderId="8" xfId="1" applyFont="1" applyFill="1" applyBorder="1" applyAlignment="1">
      <alignment horizontal="center" vertical="center"/>
    </xf>
    <xf numFmtId="41" fontId="66" fillId="0" borderId="8" xfId="1" applyFont="1" applyFill="1" applyBorder="1" applyAlignment="1">
      <alignment horizontal="left" vertical="center" wrapText="1"/>
    </xf>
    <xf numFmtId="41" fontId="68" fillId="0" borderId="8" xfId="1" applyFont="1" applyFill="1" applyBorder="1" applyAlignment="1" applyProtection="1">
      <alignment horizontal="left" vertical="center"/>
    </xf>
    <xf numFmtId="177" fontId="0" fillId="0" borderId="8" xfId="1" applyNumberFormat="1" applyFont="1" applyFill="1" applyBorder="1" applyAlignment="1">
      <alignment vertical="center"/>
    </xf>
    <xf numFmtId="193" fontId="0" fillId="0" borderId="8" xfId="1" applyNumberFormat="1" applyFont="1" applyFill="1" applyBorder="1" applyAlignment="1">
      <alignment vertical="center"/>
    </xf>
    <xf numFmtId="41" fontId="71" fillId="0" borderId="0" xfId="1" applyFont="1">
      <alignment vertical="center"/>
    </xf>
    <xf numFmtId="3" fontId="15" fillId="0" borderId="29" xfId="0" applyNumberFormat="1" applyFont="1" applyBorder="1" applyAlignment="1">
      <alignment horizontal="center" vertical="center"/>
    </xf>
    <xf numFmtId="3" fontId="15" fillId="0" borderId="65" xfId="0" applyNumberFormat="1" applyFont="1" applyBorder="1" applyAlignment="1">
      <alignment horizontal="left" vertical="center"/>
    </xf>
    <xf numFmtId="3" fontId="15" fillId="0" borderId="65" xfId="0" applyNumberFormat="1" applyFont="1" applyBorder="1" applyAlignment="1">
      <alignment horizontal="center" vertical="center"/>
    </xf>
    <xf numFmtId="41" fontId="15" fillId="0" borderId="65" xfId="1" applyFont="1" applyFill="1" applyBorder="1" applyAlignment="1">
      <alignment vertical="center"/>
    </xf>
    <xf numFmtId="0" fontId="74" fillId="0" borderId="8" xfId="0" applyFont="1" applyBorder="1" applyAlignment="1">
      <alignment horizontal="center" vertical="center" wrapText="1"/>
    </xf>
    <xf numFmtId="189" fontId="74" fillId="0" borderId="7" xfId="0" quotePrefix="1" applyNumberFormat="1" applyFont="1" applyBorder="1" applyAlignment="1">
      <alignment horizontal="center" vertical="center" shrinkToFit="1"/>
    </xf>
    <xf numFmtId="41" fontId="75" fillId="0" borderId="28" xfId="1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176" fontId="22" fillId="0" borderId="8" xfId="1" applyNumberFormat="1" applyFont="1" applyFill="1" applyBorder="1" applyAlignment="1">
      <alignment vertical="center"/>
    </xf>
    <xf numFmtId="177" fontId="22" fillId="0" borderId="8" xfId="1" applyNumberFormat="1" applyFont="1" applyFill="1" applyBorder="1" applyAlignment="1">
      <alignment vertical="center"/>
    </xf>
    <xf numFmtId="41" fontId="22" fillId="0" borderId="8" xfId="1" applyFont="1" applyFill="1" applyBorder="1" applyAlignment="1">
      <alignment vertical="center"/>
    </xf>
    <xf numFmtId="181" fontId="22" fillId="0" borderId="8" xfId="1" applyNumberFormat="1" applyFont="1" applyFill="1" applyBorder="1" applyAlignment="1">
      <alignment vertical="center"/>
    </xf>
    <xf numFmtId="0" fontId="0" fillId="6" borderId="8" xfId="0" applyFill="1" applyBorder="1" applyAlignment="1">
      <alignment horizontal="center" vertical="center"/>
    </xf>
    <xf numFmtId="177" fontId="0" fillId="6" borderId="8" xfId="1" applyNumberFormat="1" applyFont="1" applyFill="1" applyBorder="1" applyAlignment="1">
      <alignment vertical="center"/>
    </xf>
    <xf numFmtId="202" fontId="0" fillId="0" borderId="0" xfId="0" applyNumberFormat="1">
      <alignment vertical="center"/>
    </xf>
    <xf numFmtId="41" fontId="77" fillId="0" borderId="8" xfId="1" applyFont="1" applyBorder="1" applyAlignment="1">
      <alignment vertical="center"/>
    </xf>
    <xf numFmtId="41" fontId="77" fillId="0" borderId="8" xfId="1" applyFont="1" applyBorder="1" applyAlignment="1">
      <alignment horizontal="center" vertical="center"/>
    </xf>
    <xf numFmtId="189" fontId="78" fillId="0" borderId="12" xfId="0" quotePrefix="1" applyNumberFormat="1" applyFont="1" applyBorder="1" applyAlignment="1">
      <alignment horizontal="center" vertical="center" shrinkToFit="1"/>
    </xf>
    <xf numFmtId="177" fontId="61" fillId="0" borderId="0" xfId="1" applyNumberFormat="1" applyFont="1" applyBorder="1" applyAlignment="1">
      <alignment vertical="center"/>
    </xf>
    <xf numFmtId="41" fontId="76" fillId="0" borderId="8" xfId="1" applyFont="1" applyFill="1" applyBorder="1" applyAlignment="1">
      <alignment horizontal="center" vertical="center"/>
    </xf>
    <xf numFmtId="41" fontId="53" fillId="0" borderId="8" xfId="1" applyFont="1" applyBorder="1" applyAlignment="1">
      <alignment horizontal="center" vertical="center"/>
    </xf>
    <xf numFmtId="41" fontId="53" fillId="0" borderId="8" xfId="1" applyFont="1" applyBorder="1" applyAlignment="1">
      <alignment vertical="center"/>
    </xf>
    <xf numFmtId="41" fontId="53" fillId="0" borderId="8" xfId="1" applyFont="1" applyFill="1" applyBorder="1" applyAlignment="1">
      <alignment vertical="center"/>
    </xf>
    <xf numFmtId="41" fontId="77" fillId="0" borderId="8" xfId="1" applyFont="1" applyFill="1" applyBorder="1" applyAlignment="1">
      <alignment vertical="center"/>
    </xf>
    <xf numFmtId="41" fontId="53" fillId="0" borderId="8" xfId="1" applyFont="1" applyFill="1" applyBorder="1" applyAlignment="1">
      <alignment horizontal="center" vertical="center"/>
    </xf>
    <xf numFmtId="41" fontId="77" fillId="0" borderId="8" xfId="1" applyFont="1" applyFill="1" applyBorder="1" applyAlignment="1">
      <alignment vertical="center" shrinkToFit="1"/>
    </xf>
    <xf numFmtId="41" fontId="76" fillId="0" borderId="8" xfId="1" applyFont="1" applyBorder="1" applyAlignment="1">
      <alignment vertical="center"/>
    </xf>
    <xf numFmtId="0" fontId="22" fillId="0" borderId="8" xfId="0" applyFont="1" applyBorder="1">
      <alignment vertical="center"/>
    </xf>
    <xf numFmtId="41" fontId="62" fillId="0" borderId="8" xfId="0" applyNumberFormat="1" applyFont="1" applyBorder="1">
      <alignment vertical="center"/>
    </xf>
    <xf numFmtId="0" fontId="62" fillId="0" borderId="8" xfId="0" applyFont="1" applyBorder="1" applyAlignment="1">
      <alignment horizontal="center" vertical="center"/>
    </xf>
    <xf numFmtId="205" fontId="0" fillId="0" borderId="0" xfId="0" applyNumberFormat="1">
      <alignment vertical="center"/>
    </xf>
    <xf numFmtId="205" fontId="22" fillId="0" borderId="0" xfId="0" applyNumberFormat="1" applyFont="1">
      <alignment vertical="center"/>
    </xf>
    <xf numFmtId="206" fontId="0" fillId="0" borderId="0" xfId="1" applyNumberFormat="1" applyFont="1" applyBorder="1" applyAlignment="1">
      <alignment vertical="center" shrinkToFit="1"/>
    </xf>
    <xf numFmtId="9" fontId="0" fillId="0" borderId="0" xfId="0" applyNumberFormat="1" applyAlignment="1">
      <alignment horizontal="right" vertical="center"/>
    </xf>
    <xf numFmtId="207" fontId="61" fillId="0" borderId="0" xfId="1" applyNumberFormat="1" applyFont="1">
      <alignment vertical="center"/>
    </xf>
    <xf numFmtId="10" fontId="0" fillId="0" borderId="0" xfId="13" applyNumberFormat="1" applyFont="1" applyAlignment="1">
      <alignment horizontal="right" vertical="center"/>
    </xf>
    <xf numFmtId="178" fontId="25" fillId="0" borderId="8" xfId="0" applyNumberFormat="1" applyFont="1" applyBorder="1" applyAlignment="1">
      <alignment horizontal="center" vertical="center" wrapText="1"/>
    </xf>
    <xf numFmtId="205" fontId="0" fillId="0" borderId="8" xfId="0" applyNumberFormat="1" applyBorder="1" applyAlignment="1">
      <alignment horizontal="center" vertical="center"/>
    </xf>
    <xf numFmtId="14" fontId="15" fillId="0" borderId="37" xfId="0" applyNumberFormat="1" applyFont="1" applyBorder="1" applyAlignment="1">
      <alignment horizontal="center" vertical="center"/>
    </xf>
    <xf numFmtId="3" fontId="15" fillId="0" borderId="66" xfId="0" applyNumberFormat="1" applyFont="1" applyBorder="1" applyAlignment="1">
      <alignment horizontal="center" vertical="center"/>
    </xf>
    <xf numFmtId="10" fontId="60" fillId="0" borderId="0" xfId="13" applyNumberFormat="1" applyFont="1">
      <alignment vertical="center"/>
    </xf>
    <xf numFmtId="9" fontId="60" fillId="0" borderId="0" xfId="1" applyNumberFormat="1" applyFont="1">
      <alignment vertical="center"/>
    </xf>
    <xf numFmtId="41" fontId="30" fillId="5" borderId="8" xfId="1" applyFont="1" applyFill="1" applyBorder="1" applyAlignment="1">
      <alignment horizontal="center" vertical="center"/>
    </xf>
    <xf numFmtId="2" fontId="11" fillId="0" borderId="0" xfId="3" applyNumberFormat="1" applyFont="1"/>
    <xf numFmtId="0" fontId="79" fillId="0" borderId="4" xfId="2" applyFont="1" applyBorder="1"/>
    <xf numFmtId="0" fontId="79" fillId="0" borderId="0" xfId="2" applyFont="1"/>
    <xf numFmtId="0" fontId="79" fillId="0" borderId="5" xfId="2" applyFont="1" applyBorder="1"/>
    <xf numFmtId="0" fontId="81" fillId="0" borderId="54" xfId="7" quotePrefix="1" applyFont="1" applyBorder="1" applyAlignment="1">
      <alignment horizontal="center" vertical="center"/>
    </xf>
    <xf numFmtId="0" fontId="84" fillId="0" borderId="55" xfId="2" applyFont="1" applyBorder="1"/>
    <xf numFmtId="0" fontId="84" fillId="0" borderId="56" xfId="2" applyFont="1" applyBorder="1"/>
    <xf numFmtId="0" fontId="85" fillId="0" borderId="0" xfId="0" applyFont="1" applyAlignment="1">
      <alignment horizontal="justify"/>
    </xf>
    <xf numFmtId="0" fontId="86" fillId="0" borderId="4" xfId="2" applyFont="1" applyBorder="1" applyAlignment="1">
      <alignment horizontal="center"/>
    </xf>
    <xf numFmtId="0" fontId="86" fillId="0" borderId="0" xfId="2" applyFont="1" applyAlignment="1">
      <alignment horizontal="center"/>
    </xf>
    <xf numFmtId="0" fontId="86" fillId="0" borderId="5" xfId="2" applyFont="1" applyBorder="1" applyAlignment="1">
      <alignment horizontal="center"/>
    </xf>
    <xf numFmtId="178" fontId="27" fillId="0" borderId="21" xfId="0" applyNumberFormat="1" applyFont="1" applyBorder="1">
      <alignment vertical="center"/>
    </xf>
    <xf numFmtId="178" fontId="27" fillId="0" borderId="21" xfId="0" applyNumberFormat="1" applyFont="1" applyBorder="1" applyAlignment="1">
      <alignment horizontal="center" vertical="center"/>
    </xf>
    <xf numFmtId="41" fontId="77" fillId="0" borderId="21" xfId="1" applyFont="1" applyBorder="1" applyAlignment="1">
      <alignment horizontal="center" vertical="center"/>
    </xf>
    <xf numFmtId="41" fontId="77" fillId="0" borderId="21" xfId="1" applyFont="1" applyBorder="1" applyAlignment="1">
      <alignment vertical="center"/>
    </xf>
    <xf numFmtId="41" fontId="27" fillId="0" borderId="21" xfId="1" applyFont="1" applyFill="1" applyBorder="1" applyAlignment="1">
      <alignment horizontal="center" vertical="center" wrapText="1"/>
    </xf>
    <xf numFmtId="41" fontId="25" fillId="0" borderId="55" xfId="1" applyFont="1" applyFill="1" applyBorder="1" applyAlignment="1">
      <alignment horizontal="center" vertical="center" wrapText="1"/>
    </xf>
    <xf numFmtId="178" fontId="27" fillId="0" borderId="63" xfId="0" applyNumberFormat="1" applyFont="1" applyBorder="1">
      <alignment vertical="center"/>
    </xf>
    <xf numFmtId="201" fontId="24" fillId="0" borderId="55" xfId="1" applyNumberFormat="1" applyFont="1" applyBorder="1" applyAlignment="1">
      <alignment horizontal="center" vertical="center"/>
    </xf>
    <xf numFmtId="178" fontId="25" fillId="0" borderId="63" xfId="0" applyNumberFormat="1" applyFont="1" applyBorder="1" applyAlignment="1">
      <alignment horizontal="center" vertical="center" shrinkToFit="1"/>
    </xf>
    <xf numFmtId="41" fontId="27" fillId="0" borderId="55" xfId="1" applyFont="1" applyFill="1" applyBorder="1" applyAlignment="1">
      <alignment horizontal="center" vertical="center" wrapText="1"/>
    </xf>
    <xf numFmtId="178" fontId="25" fillId="0" borderId="63" xfId="0" applyNumberFormat="1" applyFont="1" applyBorder="1">
      <alignment vertical="center"/>
    </xf>
    <xf numFmtId="178" fontId="27" fillId="0" borderId="57" xfId="0" applyNumberFormat="1" applyFont="1" applyBorder="1">
      <alignment vertical="center"/>
    </xf>
    <xf numFmtId="204" fontId="37" fillId="0" borderId="55" xfId="13" applyNumberFormat="1" applyFont="1" applyFill="1" applyBorder="1" applyAlignment="1">
      <alignment horizontal="center" vertical="center" wrapText="1"/>
    </xf>
    <xf numFmtId="204" fontId="25" fillId="0" borderId="55" xfId="13" applyNumberFormat="1" applyFont="1" applyFill="1" applyBorder="1" applyAlignment="1">
      <alignment horizontal="center" vertical="center" wrapText="1"/>
    </xf>
    <xf numFmtId="41" fontId="37" fillId="0" borderId="55" xfId="1" applyFont="1" applyFill="1" applyBorder="1" applyAlignment="1">
      <alignment horizontal="center" vertical="center" wrapText="1"/>
    </xf>
    <xf numFmtId="0" fontId="30" fillId="0" borderId="63" xfId="0" applyFont="1" applyBorder="1" applyAlignment="1">
      <alignment horizontal="left" vertical="center"/>
    </xf>
    <xf numFmtId="178" fontId="27" fillId="0" borderId="50" xfId="0" applyNumberFormat="1" applyFont="1" applyBorder="1">
      <alignment vertical="center"/>
    </xf>
    <xf numFmtId="178" fontId="27" fillId="0" borderId="50" xfId="0" applyNumberFormat="1" applyFont="1" applyBorder="1" applyAlignment="1">
      <alignment horizontal="center" vertical="center"/>
    </xf>
    <xf numFmtId="41" fontId="77" fillId="0" borderId="50" xfId="1" applyFont="1" applyBorder="1" applyAlignment="1">
      <alignment horizontal="center" vertical="center"/>
    </xf>
    <xf numFmtId="41" fontId="77" fillId="0" borderId="50" xfId="1" applyFont="1" applyBorder="1" applyAlignment="1">
      <alignment vertical="center"/>
    </xf>
    <xf numFmtId="41" fontId="27" fillId="0" borderId="56" xfId="1" applyFont="1" applyFill="1" applyBorder="1" applyAlignment="1">
      <alignment horizontal="center" vertical="center" wrapText="1"/>
    </xf>
    <xf numFmtId="0" fontId="83" fillId="0" borderId="57" xfId="7" applyFont="1" applyBorder="1" applyAlignment="1">
      <alignment horizontal="center" vertical="center"/>
    </xf>
    <xf numFmtId="0" fontId="83" fillId="0" borderId="7" xfId="7" applyFont="1" applyBorder="1" applyAlignment="1">
      <alignment horizontal="center" vertical="center"/>
    </xf>
    <xf numFmtId="0" fontId="87" fillId="0" borderId="4" xfId="14" applyFont="1" applyBorder="1" applyAlignment="1">
      <alignment horizontal="center" vertical="center" wrapText="1"/>
    </xf>
    <xf numFmtId="0" fontId="87" fillId="0" borderId="0" xfId="14" applyFont="1" applyBorder="1" applyAlignment="1">
      <alignment horizontal="center" vertical="center" wrapText="1"/>
    </xf>
    <xf numFmtId="0" fontId="87" fillId="0" borderId="5" xfId="14" applyFont="1" applyBorder="1" applyAlignment="1">
      <alignment horizontal="center" vertical="center" wrapText="1"/>
    </xf>
    <xf numFmtId="0" fontId="87" fillId="0" borderId="4" xfId="14" applyFont="1" applyBorder="1" applyAlignment="1">
      <alignment horizontal="center" vertical="top" wrapText="1"/>
    </xf>
    <xf numFmtId="0" fontId="87" fillId="0" borderId="0" xfId="14" applyFont="1" applyBorder="1" applyAlignment="1">
      <alignment horizontal="center" vertical="top" wrapText="1"/>
    </xf>
    <xf numFmtId="0" fontId="87" fillId="0" borderId="5" xfId="14" applyFont="1" applyBorder="1" applyAlignment="1">
      <alignment horizontal="center" vertical="top" wrapText="1"/>
    </xf>
    <xf numFmtId="0" fontId="86" fillId="0" borderId="4" xfId="2" applyFont="1" applyBorder="1" applyAlignment="1">
      <alignment horizontal="center"/>
    </xf>
    <xf numFmtId="0" fontId="86" fillId="0" borderId="0" xfId="2" applyFont="1" applyAlignment="1">
      <alignment horizontal="center"/>
    </xf>
    <xf numFmtId="0" fontId="86" fillId="0" borderId="5" xfId="2" applyFont="1" applyBorder="1" applyAlignment="1">
      <alignment horizontal="center"/>
    </xf>
    <xf numFmtId="0" fontId="80" fillId="0" borderId="0" xfId="2" applyFont="1" applyAlignment="1">
      <alignment horizontal="center" vertical="center"/>
    </xf>
    <xf numFmtId="0" fontId="81" fillId="0" borderId="47" xfId="7" quotePrefix="1" applyFont="1" applyBorder="1" applyAlignment="1">
      <alignment horizontal="center" vertical="center"/>
    </xf>
    <xf numFmtId="0" fontId="81" fillId="0" borderId="48" xfId="7" quotePrefix="1" applyFont="1" applyBorder="1" applyAlignment="1">
      <alignment horizontal="center" vertical="center"/>
    </xf>
    <xf numFmtId="0" fontId="82" fillId="0" borderId="48" xfId="7" applyFont="1" applyBorder="1" applyAlignment="1">
      <alignment horizontal="center"/>
    </xf>
    <xf numFmtId="0" fontId="82" fillId="0" borderId="58" xfId="7" applyFont="1" applyBorder="1" applyAlignment="1">
      <alignment horizontal="center"/>
    </xf>
    <xf numFmtId="41" fontId="83" fillId="0" borderId="6" xfId="7" applyNumberFormat="1" applyFont="1" applyBorder="1" applyAlignment="1">
      <alignment horizontal="left" vertical="center"/>
    </xf>
    <xf numFmtId="41" fontId="83" fillId="0" borderId="14" xfId="7" applyNumberFormat="1" applyFont="1" applyBorder="1" applyAlignment="1">
      <alignment horizontal="left" vertical="center"/>
    </xf>
    <xf numFmtId="41" fontId="83" fillId="0" borderId="7" xfId="7" applyNumberFormat="1" applyFont="1" applyBorder="1" applyAlignment="1">
      <alignment horizontal="left" vertical="center"/>
    </xf>
    <xf numFmtId="196" fontId="83" fillId="0" borderId="14" xfId="8" applyNumberFormat="1" applyFont="1" applyBorder="1" applyAlignment="1">
      <alignment horizontal="right" vertical="center"/>
    </xf>
    <xf numFmtId="196" fontId="83" fillId="0" borderId="7" xfId="8" applyNumberFormat="1" applyFont="1" applyBorder="1" applyAlignment="1">
      <alignment horizontal="right" vertical="center"/>
    </xf>
    <xf numFmtId="0" fontId="83" fillId="0" borderId="49" xfId="7" applyFont="1" applyBorder="1" applyAlignment="1">
      <alignment horizontal="center" vertical="center"/>
    </xf>
    <xf numFmtId="0" fontId="83" fillId="0" borderId="50" xfId="7" applyFont="1" applyBorder="1" applyAlignment="1">
      <alignment horizontal="center" vertical="center"/>
    </xf>
    <xf numFmtId="181" fontId="83" fillId="0" borderId="51" xfId="7" applyNumberFormat="1" applyFont="1" applyBorder="1" applyAlignment="1">
      <alignment horizontal="center" vertical="center"/>
    </xf>
    <xf numFmtId="181" fontId="83" fillId="0" borderId="52" xfId="7" applyNumberFormat="1" applyFont="1" applyBorder="1" applyAlignment="1">
      <alignment horizontal="center" vertical="center"/>
    </xf>
    <xf numFmtId="181" fontId="83" fillId="0" borderId="53" xfId="7" applyNumberFormat="1" applyFont="1" applyBorder="1" applyAlignment="1">
      <alignment horizontal="center" vertical="center"/>
    </xf>
    <xf numFmtId="196" fontId="83" fillId="0" borderId="52" xfId="8" applyNumberFormat="1" applyFont="1" applyBorder="1" applyAlignment="1">
      <alignment horizontal="left" vertical="center"/>
    </xf>
    <xf numFmtId="196" fontId="83" fillId="0" borderId="53" xfId="8" applyNumberFormat="1" applyFont="1" applyBorder="1" applyAlignment="1">
      <alignment horizontal="left" vertical="center"/>
    </xf>
    <xf numFmtId="0" fontId="7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35" fillId="0" borderId="0" xfId="0" applyFont="1" applyAlignment="1">
      <alignment horizontal="center" vertical="center"/>
    </xf>
    <xf numFmtId="178" fontId="30" fillId="0" borderId="6" xfId="0" applyNumberFormat="1" applyFont="1" applyBorder="1" applyAlignment="1">
      <alignment horizontal="left" vertical="center"/>
    </xf>
    <xf numFmtId="178" fontId="30" fillId="0" borderId="7" xfId="0" applyNumberFormat="1" applyFont="1" applyBorder="1" applyAlignment="1">
      <alignment horizontal="left" vertical="center"/>
    </xf>
    <xf numFmtId="178" fontId="27" fillId="0" borderId="57" xfId="0" applyNumberFormat="1" applyFont="1" applyBorder="1" applyAlignment="1">
      <alignment horizontal="center" vertical="center"/>
    </xf>
    <xf numFmtId="178" fontId="27" fillId="0" borderId="7" xfId="0" applyNumberFormat="1" applyFont="1" applyBorder="1" applyAlignment="1">
      <alignment horizontal="center" vertical="center"/>
    </xf>
    <xf numFmtId="178" fontId="30" fillId="0" borderId="57" xfId="0" applyNumberFormat="1" applyFont="1" applyBorder="1" applyAlignment="1">
      <alignment horizontal="left" vertical="center"/>
    </xf>
    <xf numFmtId="178" fontId="27" fillId="0" borderId="11" xfId="0" applyNumberFormat="1" applyFont="1" applyBorder="1" applyAlignment="1">
      <alignment horizontal="center" vertical="center"/>
    </xf>
    <xf numFmtId="178" fontId="27" fillId="0" borderId="12" xfId="0" applyNumberFormat="1" applyFont="1" applyBorder="1" applyAlignment="1">
      <alignment horizontal="center" vertical="center"/>
    </xf>
    <xf numFmtId="178" fontId="27" fillId="0" borderId="57" xfId="0" applyNumberFormat="1" applyFont="1" applyBorder="1" applyAlignment="1">
      <alignment horizontal="left" vertical="center"/>
    </xf>
    <xf numFmtId="178" fontId="27" fillId="0" borderId="7" xfId="0" applyNumberFormat="1" applyFont="1" applyBorder="1" applyAlignment="1">
      <alignment horizontal="left" vertical="center"/>
    </xf>
    <xf numFmtId="178" fontId="27" fillId="0" borderId="64" xfId="0" applyNumberFormat="1" applyFont="1" applyBorder="1" applyAlignment="1">
      <alignment horizontal="center" vertical="center"/>
    </xf>
    <xf numFmtId="178" fontId="27" fillId="0" borderId="53" xfId="0" applyNumberFormat="1" applyFont="1" applyBorder="1" applyAlignment="1">
      <alignment horizontal="center" vertical="center"/>
    </xf>
    <xf numFmtId="178" fontId="25" fillId="0" borderId="69" xfId="0" applyNumberFormat="1" applyFont="1" applyBorder="1" applyAlignment="1">
      <alignment horizontal="center" vertical="center" wrapText="1"/>
    </xf>
    <xf numFmtId="178" fontId="25" fillId="0" borderId="70" xfId="0" applyNumberFormat="1" applyFont="1" applyBorder="1" applyAlignment="1">
      <alignment horizontal="center" vertical="center" wrapText="1"/>
    </xf>
    <xf numFmtId="178" fontId="25" fillId="0" borderId="71" xfId="0" applyNumberFormat="1" applyFont="1" applyBorder="1" applyAlignment="1">
      <alignment horizontal="center" vertical="center" wrapText="1"/>
    </xf>
    <xf numFmtId="41" fontId="30" fillId="5" borderId="48" xfId="1" applyFont="1" applyFill="1" applyBorder="1" applyAlignment="1">
      <alignment horizontal="center" vertical="center"/>
    </xf>
    <xf numFmtId="41" fontId="30" fillId="5" borderId="54" xfId="1" applyFont="1" applyFill="1" applyBorder="1" applyAlignment="1">
      <alignment horizontal="center" vertical="center" wrapText="1"/>
    </xf>
    <xf numFmtId="41" fontId="30" fillId="5" borderId="55" xfId="1" applyFont="1" applyFill="1" applyBorder="1" applyAlignment="1">
      <alignment horizontal="center" vertical="center" wrapText="1"/>
    </xf>
    <xf numFmtId="178" fontId="30" fillId="5" borderId="48" xfId="0" applyNumberFormat="1" applyFont="1" applyFill="1" applyBorder="1" applyAlignment="1">
      <alignment horizontal="center" vertical="center"/>
    </xf>
    <xf numFmtId="178" fontId="30" fillId="5" borderId="8" xfId="0" applyNumberFormat="1" applyFont="1" applyFill="1" applyBorder="1" applyAlignment="1">
      <alignment horizontal="center" vertical="center"/>
    </xf>
    <xf numFmtId="178" fontId="30" fillId="5" borderId="1" xfId="0" applyNumberFormat="1" applyFont="1" applyFill="1" applyBorder="1" applyAlignment="1">
      <alignment horizontal="center" vertical="center"/>
    </xf>
    <xf numFmtId="178" fontId="30" fillId="5" borderId="67" xfId="0" applyNumberFormat="1" applyFont="1" applyFill="1" applyBorder="1" applyAlignment="1">
      <alignment horizontal="center" vertical="center"/>
    </xf>
    <xf numFmtId="178" fontId="30" fillId="5" borderId="68" xfId="0" applyNumberFormat="1" applyFont="1" applyFill="1" applyBorder="1" applyAlignment="1">
      <alignment horizontal="center" vertical="center"/>
    </xf>
    <xf numFmtId="178" fontId="30" fillId="5" borderId="12" xfId="0" applyNumberFormat="1" applyFont="1" applyFill="1" applyBorder="1" applyAlignment="1">
      <alignment horizontal="center" vertical="center"/>
    </xf>
    <xf numFmtId="41" fontId="23" fillId="0" borderId="6" xfId="1" applyFont="1" applyFill="1" applyBorder="1" applyAlignment="1">
      <alignment horizontal="left" vertical="center"/>
    </xf>
    <xf numFmtId="41" fontId="23" fillId="0" borderId="14" xfId="1" applyFont="1" applyFill="1" applyBorder="1" applyAlignment="1">
      <alignment horizontal="left" vertical="center"/>
    </xf>
    <xf numFmtId="41" fontId="23" fillId="0" borderId="7" xfId="1" applyFont="1" applyFill="1" applyBorder="1" applyAlignment="1">
      <alignment horizontal="left" vertical="center"/>
    </xf>
    <xf numFmtId="41" fontId="23" fillId="0" borderId="6" xfId="1" applyFont="1" applyBorder="1" applyAlignment="1">
      <alignment horizontal="left" vertical="center"/>
    </xf>
    <xf numFmtId="41" fontId="23" fillId="0" borderId="14" xfId="1" applyFont="1" applyBorder="1" applyAlignment="1">
      <alignment horizontal="left" vertical="center"/>
    </xf>
    <xf numFmtId="41" fontId="23" fillId="0" borderId="7" xfId="1" applyFont="1" applyBorder="1" applyAlignment="1">
      <alignment horizontal="left" vertical="center"/>
    </xf>
    <xf numFmtId="41" fontId="65" fillId="0" borderId="6" xfId="1" applyFont="1" applyBorder="1" applyAlignment="1">
      <alignment horizontal="left" vertical="center"/>
    </xf>
    <xf numFmtId="41" fontId="65" fillId="0" borderId="14" xfId="1" applyFont="1" applyBorder="1" applyAlignment="1">
      <alignment horizontal="left" vertical="center"/>
    </xf>
    <xf numFmtId="41" fontId="65" fillId="0" borderId="7" xfId="1" applyFont="1" applyBorder="1" applyAlignment="1">
      <alignment horizontal="left" vertical="center"/>
    </xf>
    <xf numFmtId="41" fontId="65" fillId="0" borderId="6" xfId="1" applyFont="1" applyFill="1" applyBorder="1" applyAlignment="1">
      <alignment horizontal="left" vertical="center"/>
    </xf>
    <xf numFmtId="41" fontId="65" fillId="0" borderId="14" xfId="1" applyFont="1" applyFill="1" applyBorder="1" applyAlignment="1">
      <alignment horizontal="left" vertical="center"/>
    </xf>
    <xf numFmtId="41" fontId="65" fillId="0" borderId="7" xfId="1" applyFont="1" applyFill="1" applyBorder="1" applyAlignment="1">
      <alignment horizontal="left" vertical="center"/>
    </xf>
    <xf numFmtId="41" fontId="29" fillId="5" borderId="8" xfId="1" applyFont="1" applyFill="1" applyBorder="1" applyAlignment="1">
      <alignment horizontal="center" vertical="center"/>
    </xf>
    <xf numFmtId="41" fontId="30" fillId="5" borderId="8" xfId="1" applyFont="1" applyFill="1" applyBorder="1" applyAlignment="1">
      <alignment horizontal="center" vertical="center" wrapText="1"/>
    </xf>
    <xf numFmtId="41" fontId="29" fillId="5" borderId="8" xfId="1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203" fontId="0" fillId="0" borderId="0" xfId="0" applyNumberForma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2" fillId="6" borderId="6" xfId="0" applyFont="1" applyFill="1" applyBorder="1" applyAlignment="1">
      <alignment vertical="center" shrinkToFit="1"/>
    </xf>
    <xf numFmtId="0" fontId="22" fillId="6" borderId="7" xfId="0" applyFont="1" applyFill="1" applyBorder="1" applyAlignment="1">
      <alignment vertical="center" shrinkToFit="1"/>
    </xf>
    <xf numFmtId="0" fontId="0" fillId="6" borderId="6" xfId="0" applyFill="1" applyBorder="1" applyAlignment="1">
      <alignment vertical="center" shrinkToFit="1"/>
    </xf>
    <xf numFmtId="0" fontId="0" fillId="6" borderId="7" xfId="0" applyFill="1" applyBorder="1" applyAlignment="1">
      <alignment vertical="center" shrinkToFit="1"/>
    </xf>
    <xf numFmtId="0" fontId="22" fillId="0" borderId="13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0" fontId="52" fillId="0" borderId="0" xfId="0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 shrinkToFit="1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41" fillId="5" borderId="9" xfId="0" applyFont="1" applyFill="1" applyBorder="1" applyAlignment="1">
      <alignment horizontal="center" vertical="center"/>
    </xf>
    <xf numFmtId="0" fontId="41" fillId="5" borderId="15" xfId="0" applyFont="1" applyFill="1" applyBorder="1" applyAlignment="1">
      <alignment horizontal="center" vertical="center"/>
    </xf>
    <xf numFmtId="0" fontId="41" fillId="5" borderId="8" xfId="0" quotePrefix="1" applyFont="1" applyFill="1" applyBorder="1" applyAlignment="1">
      <alignment horizontal="center" vertical="center"/>
    </xf>
    <xf numFmtId="0" fontId="41" fillId="5" borderId="17" xfId="0" quotePrefix="1" applyFont="1" applyFill="1" applyBorder="1" applyAlignment="1">
      <alignment horizontal="center" vertical="center"/>
    </xf>
    <xf numFmtId="0" fontId="41" fillId="5" borderId="13" xfId="0" quotePrefix="1" applyFont="1" applyFill="1" applyBorder="1" applyAlignment="1">
      <alignment horizontal="center" vertical="center"/>
    </xf>
    <xf numFmtId="0" fontId="41" fillId="5" borderId="13" xfId="0" quotePrefix="1" applyFont="1" applyFill="1" applyBorder="1" applyAlignment="1">
      <alignment horizontal="center" vertical="center" wrapText="1"/>
    </xf>
    <xf numFmtId="0" fontId="41" fillId="5" borderId="16" xfId="0" quotePrefix="1" applyFont="1" applyFill="1" applyBorder="1" applyAlignment="1">
      <alignment horizontal="center" vertical="center" wrapText="1"/>
    </xf>
    <xf numFmtId="0" fontId="57" fillId="0" borderId="0" xfId="12" applyFont="1" applyAlignment="1">
      <alignment horizontal="center" vertical="center"/>
    </xf>
    <xf numFmtId="0" fontId="56" fillId="0" borderId="0" xfId="12"/>
    <xf numFmtId="3" fontId="58" fillId="0" borderId="14" xfId="12" applyNumberFormat="1" applyFont="1" applyBorder="1" applyAlignment="1">
      <alignment horizontal="center" vertical="center"/>
    </xf>
    <xf numFmtId="3" fontId="59" fillId="0" borderId="61" xfId="12" applyNumberFormat="1" applyFont="1" applyBorder="1" applyAlignment="1">
      <alignment vertical="center"/>
    </xf>
    <xf numFmtId="200" fontId="59" fillId="0" borderId="61" xfId="12" applyNumberFormat="1" applyFont="1" applyBorder="1" applyAlignment="1">
      <alignment vertical="center"/>
    </xf>
    <xf numFmtId="199" fontId="59" fillId="0" borderId="61" xfId="12" applyNumberFormat="1" applyFont="1" applyBorder="1" applyAlignment="1">
      <alignment vertical="center"/>
    </xf>
    <xf numFmtId="0" fontId="50" fillId="0" borderId="0" xfId="0" applyFont="1" applyAlignment="1">
      <alignment horizontal="center" vertical="center"/>
    </xf>
    <xf numFmtId="0" fontId="47" fillId="5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/>
    </xf>
    <xf numFmtId="179" fontId="31" fillId="0" borderId="0" xfId="0" applyNumberFormat="1" applyFont="1" applyAlignment="1">
      <alignment horizontal="center" vertical="center"/>
    </xf>
    <xf numFmtId="185" fontId="24" fillId="0" borderId="0" xfId="0" quotePrefix="1" applyNumberFormat="1" applyFont="1" applyAlignment="1">
      <alignment horizontal="left" vertical="center"/>
    </xf>
  </cellXfs>
  <cellStyles count="15">
    <cellStyle name="백분율" xfId="13" builtinId="5"/>
    <cellStyle name="백분율 3" xfId="4"/>
    <cellStyle name="쉼표 [0]" xfId="1" builtinId="6"/>
    <cellStyle name="쉼표 [0] 2" xfId="6"/>
    <cellStyle name="쉼표 [0]_가로수내역(A-K)0328" xfId="8"/>
    <cellStyle name="콤마 [0]_금강내역(2차)" xfId="10"/>
    <cellStyle name="표준" xfId="0" builtinId="0"/>
    <cellStyle name="표준 11" xfId="5"/>
    <cellStyle name="표준 2" xfId="12"/>
    <cellStyle name="표준 4" xfId="14"/>
    <cellStyle name="표준_1-관리계획(기초조사,단계별포함)(계약변경)" xfId="2"/>
    <cellStyle name="표준_금강내역(2차)" xfId="9"/>
    <cellStyle name="표준_설계내역서(수정)_참조최종" xfId="11"/>
    <cellStyle name="표준_이태원공원내역서" xfId="7"/>
    <cellStyle name="표준_포매기~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220436</xdr:colOff>
      <xdr:row>17</xdr:row>
      <xdr:rowOff>112937</xdr:rowOff>
    </xdr:from>
    <xdr:to>
      <xdr:col>4</xdr:col>
      <xdr:colOff>231322</xdr:colOff>
      <xdr:row>18</xdr:row>
      <xdr:rowOff>408213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38EF910-7211-4FD8-870F-B9B32356C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9722" y="6304187"/>
          <a:ext cx="827314" cy="757919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224118</xdr:colOff>
      <xdr:row>19</xdr:row>
      <xdr:rowOff>145676</xdr:rowOff>
    </xdr:from>
    <xdr:to>
      <xdr:col>22</xdr:col>
      <xdr:colOff>511888</xdr:colOff>
      <xdr:row>48</xdr:row>
      <xdr:rowOff>65544</xdr:rowOff>
    </xdr:to>
    <xdr:pic>
      <xdr:nvPicPr>
        <xdr:cNvPr id="5" name="그림 4">
          <a:extLst>
            <a:ext uri="{FF2B5EF4-FFF2-40B4-BE49-F238E27FC236}">
              <a16:creationId xmlns="" xmlns:a16="http://schemas.microsoft.com/office/drawing/2014/main" id="{102E38A3-9E3C-D491-D8E3-411AFE1C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5677" y="5020235"/>
          <a:ext cx="6439799" cy="7954485"/>
        </a:xfrm>
        <a:prstGeom prst="rect">
          <a:avLst/>
        </a:prstGeom>
      </xdr:spPr>
    </xdr:pic>
    <xdr:clientData/>
  </xdr:twoCellAnchor>
  <xdr:twoCellAnchor editAs="oneCell">
    <xdr:from>
      <xdr:col>22</xdr:col>
      <xdr:colOff>649940</xdr:colOff>
      <xdr:row>19</xdr:row>
      <xdr:rowOff>168088</xdr:rowOff>
    </xdr:from>
    <xdr:to>
      <xdr:col>32</xdr:col>
      <xdr:colOff>330361</xdr:colOff>
      <xdr:row>32</xdr:row>
      <xdr:rowOff>1082</xdr:rowOff>
    </xdr:to>
    <xdr:pic>
      <xdr:nvPicPr>
        <xdr:cNvPr id="7" name="그림 6">
          <a:extLst>
            <a:ext uri="{FF2B5EF4-FFF2-40B4-BE49-F238E27FC236}">
              <a16:creationId xmlns="" xmlns:a16="http://schemas.microsoft.com/office/drawing/2014/main" id="{9B863B27-C22F-6A5A-74A7-78248055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53528" y="5042647"/>
          <a:ext cx="6516009" cy="37438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3</xdr:row>
      <xdr:rowOff>76200</xdr:rowOff>
    </xdr:from>
    <xdr:to>
      <xdr:col>19</xdr:col>
      <xdr:colOff>647700</xdr:colOff>
      <xdr:row>10</xdr:row>
      <xdr:rowOff>23598</xdr:rowOff>
    </xdr:to>
    <xdr:pic>
      <xdr:nvPicPr>
        <xdr:cNvPr id="4" name="그림 3">
          <a:extLst>
            <a:ext uri="{FF2B5EF4-FFF2-40B4-BE49-F238E27FC236}">
              <a16:creationId xmlns="" xmlns:a16="http://schemas.microsoft.com/office/drawing/2014/main" id="{F7FFDFE0-AC49-94EC-34C5-B6F4C6F9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828675"/>
          <a:ext cx="7839075" cy="26810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7</xdr:col>
      <xdr:colOff>684364</xdr:colOff>
      <xdr:row>24</xdr:row>
      <xdr:rowOff>9524</xdr:rowOff>
    </xdr:to>
    <xdr:grpSp>
      <xdr:nvGrpSpPr>
        <xdr:cNvPr id="7" name="그룹 6">
          <a:extLst>
            <a:ext uri="{FF2B5EF4-FFF2-40B4-BE49-F238E27FC236}">
              <a16:creationId xmlns="" xmlns:a16="http://schemas.microsoft.com/office/drawing/2014/main" id="{33367625-E98B-AC59-A87D-99921EB343CF}"/>
            </a:ext>
          </a:extLst>
        </xdr:cNvPr>
        <xdr:cNvGrpSpPr/>
      </xdr:nvGrpSpPr>
      <xdr:grpSpPr>
        <a:xfrm>
          <a:off x="28575" y="0"/>
          <a:ext cx="5327180" cy="6966915"/>
          <a:chOff x="28575" y="9526"/>
          <a:chExt cx="5327180" cy="6966915"/>
        </a:xfrm>
      </xdr:grpSpPr>
      <xdr:pic>
        <xdr:nvPicPr>
          <xdr:cNvPr id="4" name="그림 3">
            <a:extLst>
              <a:ext uri="{FF2B5EF4-FFF2-40B4-BE49-F238E27FC236}">
                <a16:creationId xmlns="" xmlns:a16="http://schemas.microsoft.com/office/drawing/2014/main" id="{B7264912-4D06-F897-D875-532B26C81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75" y="9526"/>
            <a:ext cx="5327180" cy="6966915"/>
          </a:xfrm>
          <a:prstGeom prst="rect">
            <a:avLst/>
          </a:prstGeom>
        </xdr:spPr>
      </xdr:pic>
      <xdr:sp macro="" textlink="">
        <xdr:nvSpPr>
          <xdr:cNvPr id="5" name="직사각형 4">
            <a:extLst>
              <a:ext uri="{FF2B5EF4-FFF2-40B4-BE49-F238E27FC236}">
                <a16:creationId xmlns="" xmlns:a16="http://schemas.microsoft.com/office/drawing/2014/main" id="{D0757634-B829-3CB1-BE9D-0B40DF70B44D}"/>
              </a:ext>
            </a:extLst>
          </xdr:cNvPr>
          <xdr:cNvSpPr/>
        </xdr:nvSpPr>
        <xdr:spPr>
          <a:xfrm>
            <a:off x="2831521" y="2451651"/>
            <a:ext cx="474368" cy="1739348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94422</xdr:rowOff>
    </xdr:to>
    <xdr:sp macro="" textlink="">
      <xdr:nvSpPr>
        <xdr:cNvPr id="2" name="AutoShape 1" descr="PIC66">
          <a:extLst>
            <a:ext uri="{FF2B5EF4-FFF2-40B4-BE49-F238E27FC236}">
              <a16:creationId xmlns="" xmlns:a16="http://schemas.microsoft.com/office/drawing/2014/main" id="{3AA0DC22-9C0B-4647-AF09-D7443E8885F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6775" cy="427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94422</xdr:rowOff>
    </xdr:to>
    <xdr:sp macro="" textlink="">
      <xdr:nvSpPr>
        <xdr:cNvPr id="3" name="AutoShape 4" descr="PIC66">
          <a:extLst>
            <a:ext uri="{FF2B5EF4-FFF2-40B4-BE49-F238E27FC236}">
              <a16:creationId xmlns="" xmlns:a16="http://schemas.microsoft.com/office/drawing/2014/main" id="{EFCBBDE7-3C17-4378-90DD-C7A7CA1A2DA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6775" cy="427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94422</xdr:rowOff>
    </xdr:to>
    <xdr:sp macro="" textlink="">
      <xdr:nvSpPr>
        <xdr:cNvPr id="4" name="AutoShape 7" descr="PIC66">
          <a:extLst>
            <a:ext uri="{FF2B5EF4-FFF2-40B4-BE49-F238E27FC236}">
              <a16:creationId xmlns="" xmlns:a16="http://schemas.microsoft.com/office/drawing/2014/main" id="{C0D8F589-DE5F-4082-A683-C0A2CD16CCC4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6775" cy="427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863876" cy="304800"/>
    <xdr:sp macro="" textlink="">
      <xdr:nvSpPr>
        <xdr:cNvPr id="5" name="AutoShape 1" descr="PIC66">
          <a:extLst>
            <a:ext uri="{FF2B5EF4-FFF2-40B4-BE49-F238E27FC236}">
              <a16:creationId xmlns="" xmlns:a16="http://schemas.microsoft.com/office/drawing/2014/main" id="{4BD2FB6C-BADE-443B-811C-6A5F48042A5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387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863876" cy="304800"/>
    <xdr:sp macro="" textlink="">
      <xdr:nvSpPr>
        <xdr:cNvPr id="6" name="AutoShape 4" descr="PIC66">
          <a:extLst>
            <a:ext uri="{FF2B5EF4-FFF2-40B4-BE49-F238E27FC236}">
              <a16:creationId xmlns="" xmlns:a16="http://schemas.microsoft.com/office/drawing/2014/main" id="{E9DE7DDE-11CD-45E0-9097-AEB83094DB19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387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8</xdr:col>
      <xdr:colOff>152400</xdr:colOff>
      <xdr:row>0</xdr:row>
      <xdr:rowOff>76200</xdr:rowOff>
    </xdr:from>
    <xdr:to>
      <xdr:col>14</xdr:col>
      <xdr:colOff>885219</xdr:colOff>
      <xdr:row>30</xdr:row>
      <xdr:rowOff>151584</xdr:rowOff>
    </xdr:to>
    <xdr:pic>
      <xdr:nvPicPr>
        <xdr:cNvPr id="7" name="그림 6">
          <a:extLst>
            <a:ext uri="{FF2B5EF4-FFF2-40B4-BE49-F238E27FC236}">
              <a16:creationId xmlns="" xmlns:a16="http://schemas.microsoft.com/office/drawing/2014/main" id="{E89CB080-D9AF-423F-8098-99A6FEAF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5075" y="76200"/>
          <a:ext cx="4847619" cy="6523809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0</xdr:rowOff>
    </xdr:from>
    <xdr:to>
      <xdr:col>22</xdr:col>
      <xdr:colOff>256571</xdr:colOff>
      <xdr:row>31</xdr:row>
      <xdr:rowOff>38100</xdr:rowOff>
    </xdr:to>
    <xdr:pic>
      <xdr:nvPicPr>
        <xdr:cNvPr id="8" name="그림 7">
          <a:extLst>
            <a:ext uri="{FF2B5EF4-FFF2-40B4-BE49-F238E27FC236}">
              <a16:creationId xmlns="" xmlns:a16="http://schemas.microsoft.com/office/drawing/2014/main" id="{2A5818DF-9AC3-41B6-A48B-3D179E281F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004"/>
        <a:stretch/>
      </xdr:blipFill>
      <xdr:spPr>
        <a:xfrm>
          <a:off x="11515725" y="0"/>
          <a:ext cx="4828571" cy="6696075"/>
        </a:xfrm>
        <a:prstGeom prst="rect">
          <a:avLst/>
        </a:prstGeom>
      </xdr:spPr>
    </xdr:pic>
    <xdr:clientData/>
  </xdr:twoCellAnchor>
  <xdr:twoCellAnchor>
    <xdr:from>
      <xdr:col>16</xdr:col>
      <xdr:colOff>304800</xdr:colOff>
      <xdr:row>6</xdr:row>
      <xdr:rowOff>95250</xdr:rowOff>
    </xdr:from>
    <xdr:to>
      <xdr:col>17</xdr:col>
      <xdr:colOff>647700</xdr:colOff>
      <xdr:row>7</xdr:row>
      <xdr:rowOff>47625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4CA2F7E6-6F68-46F0-97F5-98EB0E020051}"/>
            </a:ext>
          </a:extLst>
        </xdr:cNvPr>
        <xdr:cNvSpPr/>
      </xdr:nvSpPr>
      <xdr:spPr>
        <a:xfrm>
          <a:off x="12277725" y="1476375"/>
          <a:ext cx="1028700" cy="1619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304799</xdr:colOff>
      <xdr:row>20</xdr:row>
      <xdr:rowOff>180975</xdr:rowOff>
    </xdr:from>
    <xdr:to>
      <xdr:col>18</xdr:col>
      <xdr:colOff>371474</xdr:colOff>
      <xdr:row>21</xdr:row>
      <xdr:rowOff>180975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FF09B16E-67E7-4DB3-B86B-9A53598F0705}"/>
            </a:ext>
          </a:extLst>
        </xdr:cNvPr>
        <xdr:cNvSpPr/>
      </xdr:nvSpPr>
      <xdr:spPr>
        <a:xfrm>
          <a:off x="11591924" y="4495800"/>
          <a:ext cx="2124075" cy="2095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94422</xdr:rowOff>
    </xdr:to>
    <xdr:sp macro="" textlink="">
      <xdr:nvSpPr>
        <xdr:cNvPr id="2" name="AutoShape 1" descr="PIC66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6775" cy="30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94422</xdr:rowOff>
    </xdr:to>
    <xdr:sp macro="" textlink="">
      <xdr:nvSpPr>
        <xdr:cNvPr id="3" name="AutoShape 4" descr="PIC66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6775" cy="30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94422</xdr:rowOff>
    </xdr:to>
    <xdr:sp macro="" textlink="">
      <xdr:nvSpPr>
        <xdr:cNvPr id="4" name="AutoShape 7" descr="PIC66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6775" cy="303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863876" cy="304800"/>
    <xdr:sp macro="" textlink="">
      <xdr:nvSpPr>
        <xdr:cNvPr id="6" name="AutoShape 1" descr="PIC66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387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863876" cy="304800"/>
    <xdr:sp macro="" textlink="">
      <xdr:nvSpPr>
        <xdr:cNvPr id="7" name="AutoShape 4" descr="PIC66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86387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8</xdr:col>
      <xdr:colOff>152400</xdr:colOff>
      <xdr:row>0</xdr:row>
      <xdr:rowOff>76200</xdr:rowOff>
    </xdr:from>
    <xdr:to>
      <xdr:col>14</xdr:col>
      <xdr:colOff>885219</xdr:colOff>
      <xdr:row>30</xdr:row>
      <xdr:rowOff>151584</xdr:rowOff>
    </xdr:to>
    <xdr:pic>
      <xdr:nvPicPr>
        <xdr:cNvPr id="9" name="그림 8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76200"/>
          <a:ext cx="4847619" cy="6523809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0</xdr:rowOff>
    </xdr:from>
    <xdr:to>
      <xdr:col>22</xdr:col>
      <xdr:colOff>256571</xdr:colOff>
      <xdr:row>31</xdr:row>
      <xdr:rowOff>38100</xdr:rowOff>
    </xdr:to>
    <xdr:pic>
      <xdr:nvPicPr>
        <xdr:cNvPr id="10" name="그림 9">
          <a:extLst>
            <a:ext uri="{FF2B5EF4-FFF2-40B4-BE49-F238E27FC236}">
              <a16:creationId xmlns=""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004"/>
        <a:stretch/>
      </xdr:blipFill>
      <xdr:spPr>
        <a:xfrm>
          <a:off x="11525250" y="0"/>
          <a:ext cx="4828571" cy="6696075"/>
        </a:xfrm>
        <a:prstGeom prst="rect">
          <a:avLst/>
        </a:prstGeom>
      </xdr:spPr>
    </xdr:pic>
    <xdr:clientData/>
  </xdr:twoCellAnchor>
  <xdr:twoCellAnchor>
    <xdr:from>
      <xdr:col>16</xdr:col>
      <xdr:colOff>304800</xdr:colOff>
      <xdr:row>6</xdr:row>
      <xdr:rowOff>95250</xdr:rowOff>
    </xdr:from>
    <xdr:to>
      <xdr:col>17</xdr:col>
      <xdr:colOff>647700</xdr:colOff>
      <xdr:row>7</xdr:row>
      <xdr:rowOff>47625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SpPr/>
      </xdr:nvSpPr>
      <xdr:spPr>
        <a:xfrm>
          <a:off x="11963400" y="1476375"/>
          <a:ext cx="1028700" cy="1619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304799</xdr:colOff>
      <xdr:row>20</xdr:row>
      <xdr:rowOff>180975</xdr:rowOff>
    </xdr:from>
    <xdr:to>
      <xdr:col>18</xdr:col>
      <xdr:colOff>371474</xdr:colOff>
      <xdr:row>21</xdr:row>
      <xdr:rowOff>180975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E00-00000C000000}"/>
            </a:ext>
          </a:extLst>
        </xdr:cNvPr>
        <xdr:cNvSpPr/>
      </xdr:nvSpPr>
      <xdr:spPr>
        <a:xfrm>
          <a:off x="11277599" y="4495800"/>
          <a:ext cx="2124075" cy="2095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100853</xdr:rowOff>
    </xdr:from>
    <xdr:to>
      <xdr:col>12</xdr:col>
      <xdr:colOff>199920</xdr:colOff>
      <xdr:row>58</xdr:row>
      <xdr:rowOff>9170</xdr:rowOff>
    </xdr:to>
    <xdr:pic>
      <xdr:nvPicPr>
        <xdr:cNvPr id="2" name="그림 1">
          <a:extLst>
            <a:ext uri="{FF2B5EF4-FFF2-40B4-BE49-F238E27FC236}">
              <a16:creationId xmlns="" xmlns:a16="http://schemas.microsoft.com/office/drawing/2014/main" id="{169F5695-403B-DA7C-D5D3-71C34EA3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100853"/>
          <a:ext cx="8178508" cy="12257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view="pageBreakPreview" zoomScale="85" zoomScaleNormal="100" zoomScaleSheetLayoutView="85" workbookViewId="0">
      <selection activeCell="A14" sqref="A14:M14"/>
    </sheetView>
  </sheetViews>
  <sheetFormatPr defaultRowHeight="16.5"/>
  <cols>
    <col min="1" max="13" width="10.75" customWidth="1"/>
    <col min="14" max="14" width="10.875" bestFit="1" customWidth="1"/>
  </cols>
  <sheetData>
    <row r="1" spans="1:14" ht="27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4" ht="27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4" ht="58.5" customHeight="1">
      <c r="A3" s="358"/>
      <c r="B3" s="400" t="s">
        <v>477</v>
      </c>
      <c r="C3" s="400"/>
      <c r="D3" s="400"/>
      <c r="E3" s="400"/>
      <c r="F3" s="400"/>
      <c r="G3" s="400"/>
      <c r="H3" s="400"/>
      <c r="I3" s="400"/>
      <c r="J3" s="400"/>
      <c r="K3" s="400"/>
      <c r="L3" s="359"/>
      <c r="M3" s="360"/>
    </row>
    <row r="4" spans="1:14" ht="27" customHeight="1">
      <c r="A4" s="358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4" ht="27" customHeight="1" thickBot="1">
      <c r="A5" s="358"/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</row>
    <row r="6" spans="1:14" ht="27" customHeight="1">
      <c r="A6" s="358"/>
      <c r="B6" s="401" t="s">
        <v>0</v>
      </c>
      <c r="C6" s="402"/>
      <c r="D6" s="402" t="s">
        <v>1</v>
      </c>
      <c r="E6" s="403"/>
      <c r="F6" s="403"/>
      <c r="G6" s="403"/>
      <c r="H6" s="403"/>
      <c r="I6" s="403"/>
      <c r="J6" s="404"/>
      <c r="K6" s="361" t="s">
        <v>2</v>
      </c>
      <c r="L6" s="359"/>
      <c r="M6" s="360"/>
    </row>
    <row r="7" spans="1:14" ht="27" customHeight="1">
      <c r="A7" s="358"/>
      <c r="B7" s="389" t="s">
        <v>3</v>
      </c>
      <c r="C7" s="390"/>
      <c r="D7" s="405" t="str">
        <f t="shared" ref="D7:D9" si="0">"일금 "&amp;NUMBERSTRING(I7,1)&amp;"원정"</f>
        <v>일금 영원정</v>
      </c>
      <c r="E7" s="406"/>
      <c r="F7" s="406"/>
      <c r="G7" s="406"/>
      <c r="H7" s="407"/>
      <c r="I7" s="408">
        <f>내역서!$M$35</f>
        <v>0</v>
      </c>
      <c r="J7" s="409"/>
      <c r="K7" s="362"/>
      <c r="L7" s="359"/>
      <c r="M7" s="360"/>
    </row>
    <row r="8" spans="1:14" ht="27" customHeight="1">
      <c r="A8" s="358"/>
      <c r="B8" s="389" t="s">
        <v>4</v>
      </c>
      <c r="C8" s="390"/>
      <c r="D8" s="405" t="str">
        <f t="shared" si="0"/>
        <v>일금 영원정</v>
      </c>
      <c r="E8" s="406"/>
      <c r="F8" s="406"/>
      <c r="G8" s="406"/>
      <c r="H8" s="407"/>
      <c r="I8" s="408">
        <f>내역서!$M$37</f>
        <v>0</v>
      </c>
      <c r="J8" s="409"/>
      <c r="K8" s="362"/>
      <c r="L8" s="359"/>
      <c r="M8" s="360"/>
    </row>
    <row r="9" spans="1:14" ht="27" customHeight="1">
      <c r="A9" s="358"/>
      <c r="B9" s="389" t="s">
        <v>5</v>
      </c>
      <c r="C9" s="390"/>
      <c r="D9" s="405" t="str">
        <f t="shared" si="0"/>
        <v>일금 삼십억육천만원정</v>
      </c>
      <c r="E9" s="406"/>
      <c r="F9" s="406"/>
      <c r="G9" s="406"/>
      <c r="H9" s="407"/>
      <c r="I9" s="408">
        <f>내역서!$M$39</f>
        <v>3060000000</v>
      </c>
      <c r="J9" s="409"/>
      <c r="K9" s="362"/>
      <c r="L9" s="359"/>
      <c r="M9" s="360"/>
    </row>
    <row r="10" spans="1:14" ht="27" customHeight="1" thickBot="1">
      <c r="A10" s="358"/>
      <c r="B10" s="410" t="s">
        <v>6</v>
      </c>
      <c r="C10" s="411"/>
      <c r="D10" s="412">
        <f>산출근거!C7</f>
        <v>2887</v>
      </c>
      <c r="E10" s="413"/>
      <c r="F10" s="413"/>
      <c r="G10" s="413"/>
      <c r="H10" s="414"/>
      <c r="I10" s="415" t="s">
        <v>7</v>
      </c>
      <c r="J10" s="416"/>
      <c r="K10" s="363"/>
      <c r="L10" s="359"/>
      <c r="M10" s="360"/>
      <c r="N10" s="24"/>
    </row>
    <row r="11" spans="1:14" ht="27" customHeight="1">
      <c r="A11" s="358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60"/>
    </row>
    <row r="12" spans="1:14" ht="27" customHeight="1">
      <c r="A12" s="358"/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60"/>
    </row>
    <row r="13" spans="1:14" ht="27" customHeight="1">
      <c r="A13" s="358"/>
      <c r="B13" s="359"/>
      <c r="C13" s="364"/>
      <c r="D13" s="359"/>
      <c r="E13" s="359"/>
      <c r="F13" s="359"/>
      <c r="G13" s="359"/>
      <c r="H13" s="359"/>
      <c r="I13" s="359"/>
      <c r="J13" s="359"/>
      <c r="K13" s="359"/>
      <c r="L13" s="359"/>
      <c r="M13" s="360"/>
    </row>
    <row r="14" spans="1:14" ht="27" customHeight="1">
      <c r="A14" s="397" t="s">
        <v>484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9"/>
    </row>
    <row r="15" spans="1:14" ht="27" customHeight="1">
      <c r="A15" s="365"/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7"/>
    </row>
    <row r="16" spans="1:14" ht="27" customHeight="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7"/>
    </row>
    <row r="17" spans="1:13" ht="27" customHeight="1">
      <c r="A17" s="365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7"/>
    </row>
    <row r="18" spans="1:13" ht="36.75" customHeight="1">
      <c r="A18" s="391" t="s">
        <v>485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3"/>
    </row>
    <row r="19" spans="1:13" ht="36.75" customHeight="1">
      <c r="A19" s="394" t="s">
        <v>486</v>
      </c>
      <c r="B19" s="395"/>
      <c r="C19" s="395"/>
      <c r="D19" s="395"/>
      <c r="E19" s="395"/>
      <c r="F19" s="395"/>
      <c r="G19" s="395"/>
      <c r="H19" s="395"/>
      <c r="I19" s="395"/>
      <c r="J19" s="395"/>
      <c r="K19" s="395"/>
      <c r="L19" s="395"/>
      <c r="M19" s="396"/>
    </row>
    <row r="20" spans="1:13" ht="27" customHeight="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6"/>
    </row>
  </sheetData>
  <mergeCells count="18">
    <mergeCell ref="B3:K3"/>
    <mergeCell ref="B6:C6"/>
    <mergeCell ref="D6:J6"/>
    <mergeCell ref="B7:C7"/>
    <mergeCell ref="D7:H7"/>
    <mergeCell ref="I7:J7"/>
    <mergeCell ref="B8:C8"/>
    <mergeCell ref="B9:C9"/>
    <mergeCell ref="A18:M18"/>
    <mergeCell ref="A19:M19"/>
    <mergeCell ref="A14:M14"/>
    <mergeCell ref="D8:H8"/>
    <mergeCell ref="I8:J8"/>
    <mergeCell ref="D9:H9"/>
    <mergeCell ref="I9:J9"/>
    <mergeCell ref="B10:C10"/>
    <mergeCell ref="D10:H10"/>
    <mergeCell ref="I10:J10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9"/>
  <sheetViews>
    <sheetView view="pageBreakPreview" zoomScaleNormal="100" zoomScaleSheetLayoutView="100" workbookViewId="0">
      <pane ySplit="3" topLeftCell="A4" activePane="bottomLeft" state="frozen"/>
      <selection activeCell="C6" sqref="C6"/>
      <selection pane="bottomLeft" activeCell="C6" sqref="C6"/>
    </sheetView>
  </sheetViews>
  <sheetFormatPr defaultRowHeight="12.75"/>
  <cols>
    <col min="1" max="1" width="0.625" style="214" customWidth="1"/>
    <col min="2" max="2" width="26.75" style="214" customWidth="1"/>
    <col min="3" max="3" width="21.875" style="214" customWidth="1"/>
    <col min="4" max="25" width="1.75" style="214" customWidth="1"/>
    <col min="26" max="26" width="9.75" style="214" customWidth="1"/>
    <col min="27" max="29" width="9.125" style="214" customWidth="1"/>
    <col min="30" max="30" width="10.625" style="214" customWidth="1"/>
    <col min="31" max="256" width="9" style="214"/>
    <col min="257" max="257" width="0.625" style="214" customWidth="1"/>
    <col min="258" max="258" width="26.75" style="214" customWidth="1"/>
    <col min="259" max="259" width="21.875" style="214" customWidth="1"/>
    <col min="260" max="281" width="1.75" style="214" customWidth="1"/>
    <col min="282" max="282" width="9.75" style="214" customWidth="1"/>
    <col min="283" max="285" width="9.125" style="214" customWidth="1"/>
    <col min="286" max="286" width="10.625" style="214" customWidth="1"/>
    <col min="287" max="512" width="9" style="214"/>
    <col min="513" max="513" width="0.625" style="214" customWidth="1"/>
    <col min="514" max="514" width="26.75" style="214" customWidth="1"/>
    <col min="515" max="515" width="21.875" style="214" customWidth="1"/>
    <col min="516" max="537" width="1.75" style="214" customWidth="1"/>
    <col min="538" max="538" width="9.75" style="214" customWidth="1"/>
    <col min="539" max="541" width="9.125" style="214" customWidth="1"/>
    <col min="542" max="542" width="10.625" style="214" customWidth="1"/>
    <col min="543" max="768" width="9" style="214"/>
    <col min="769" max="769" width="0.625" style="214" customWidth="1"/>
    <col min="770" max="770" width="26.75" style="214" customWidth="1"/>
    <col min="771" max="771" width="21.875" style="214" customWidth="1"/>
    <col min="772" max="793" width="1.75" style="214" customWidth="1"/>
    <col min="794" max="794" width="9.75" style="214" customWidth="1"/>
    <col min="795" max="797" width="9.125" style="214" customWidth="1"/>
    <col min="798" max="798" width="10.625" style="214" customWidth="1"/>
    <col min="799" max="1024" width="9" style="214"/>
    <col min="1025" max="1025" width="0.625" style="214" customWidth="1"/>
    <col min="1026" max="1026" width="26.75" style="214" customWidth="1"/>
    <col min="1027" max="1027" width="21.875" style="214" customWidth="1"/>
    <col min="1028" max="1049" width="1.75" style="214" customWidth="1"/>
    <col min="1050" max="1050" width="9.75" style="214" customWidth="1"/>
    <col min="1051" max="1053" width="9.125" style="214" customWidth="1"/>
    <col min="1054" max="1054" width="10.625" style="214" customWidth="1"/>
    <col min="1055" max="1280" width="9" style="214"/>
    <col min="1281" max="1281" width="0.625" style="214" customWidth="1"/>
    <col min="1282" max="1282" width="26.75" style="214" customWidth="1"/>
    <col min="1283" max="1283" width="21.875" style="214" customWidth="1"/>
    <col min="1284" max="1305" width="1.75" style="214" customWidth="1"/>
    <col min="1306" max="1306" width="9.75" style="214" customWidth="1"/>
    <col min="1307" max="1309" width="9.125" style="214" customWidth="1"/>
    <col min="1310" max="1310" width="10.625" style="214" customWidth="1"/>
    <col min="1311" max="1536" width="9" style="214"/>
    <col min="1537" max="1537" width="0.625" style="214" customWidth="1"/>
    <col min="1538" max="1538" width="26.75" style="214" customWidth="1"/>
    <col min="1539" max="1539" width="21.875" style="214" customWidth="1"/>
    <col min="1540" max="1561" width="1.75" style="214" customWidth="1"/>
    <col min="1562" max="1562" width="9.75" style="214" customWidth="1"/>
    <col min="1563" max="1565" width="9.125" style="214" customWidth="1"/>
    <col min="1566" max="1566" width="10.625" style="214" customWidth="1"/>
    <col min="1567" max="1792" width="9" style="214"/>
    <col min="1793" max="1793" width="0.625" style="214" customWidth="1"/>
    <col min="1794" max="1794" width="26.75" style="214" customWidth="1"/>
    <col min="1795" max="1795" width="21.875" style="214" customWidth="1"/>
    <col min="1796" max="1817" width="1.75" style="214" customWidth="1"/>
    <col min="1818" max="1818" width="9.75" style="214" customWidth="1"/>
    <col min="1819" max="1821" width="9.125" style="214" customWidth="1"/>
    <col min="1822" max="1822" width="10.625" style="214" customWidth="1"/>
    <col min="1823" max="2048" width="9" style="214"/>
    <col min="2049" max="2049" width="0.625" style="214" customWidth="1"/>
    <col min="2050" max="2050" width="26.75" style="214" customWidth="1"/>
    <col min="2051" max="2051" width="21.875" style="214" customWidth="1"/>
    <col min="2052" max="2073" width="1.75" style="214" customWidth="1"/>
    <col min="2074" max="2074" width="9.75" style="214" customWidth="1"/>
    <col min="2075" max="2077" width="9.125" style="214" customWidth="1"/>
    <col min="2078" max="2078" width="10.625" style="214" customWidth="1"/>
    <col min="2079" max="2304" width="9" style="214"/>
    <col min="2305" max="2305" width="0.625" style="214" customWidth="1"/>
    <col min="2306" max="2306" width="26.75" style="214" customWidth="1"/>
    <col min="2307" max="2307" width="21.875" style="214" customWidth="1"/>
    <col min="2308" max="2329" width="1.75" style="214" customWidth="1"/>
    <col min="2330" max="2330" width="9.75" style="214" customWidth="1"/>
    <col min="2331" max="2333" width="9.125" style="214" customWidth="1"/>
    <col min="2334" max="2334" width="10.625" style="214" customWidth="1"/>
    <col min="2335" max="2560" width="9" style="214"/>
    <col min="2561" max="2561" width="0.625" style="214" customWidth="1"/>
    <col min="2562" max="2562" width="26.75" style="214" customWidth="1"/>
    <col min="2563" max="2563" width="21.875" style="214" customWidth="1"/>
    <col min="2564" max="2585" width="1.75" style="214" customWidth="1"/>
    <col min="2586" max="2586" width="9.75" style="214" customWidth="1"/>
    <col min="2587" max="2589" width="9.125" style="214" customWidth="1"/>
    <col min="2590" max="2590" width="10.625" style="214" customWidth="1"/>
    <col min="2591" max="2816" width="9" style="214"/>
    <col min="2817" max="2817" width="0.625" style="214" customWidth="1"/>
    <col min="2818" max="2818" width="26.75" style="214" customWidth="1"/>
    <col min="2819" max="2819" width="21.875" style="214" customWidth="1"/>
    <col min="2820" max="2841" width="1.75" style="214" customWidth="1"/>
    <col min="2842" max="2842" width="9.75" style="214" customWidth="1"/>
    <col min="2843" max="2845" width="9.125" style="214" customWidth="1"/>
    <col min="2846" max="2846" width="10.625" style="214" customWidth="1"/>
    <col min="2847" max="3072" width="9" style="214"/>
    <col min="3073" max="3073" width="0.625" style="214" customWidth="1"/>
    <col min="3074" max="3074" width="26.75" style="214" customWidth="1"/>
    <col min="3075" max="3075" width="21.875" style="214" customWidth="1"/>
    <col min="3076" max="3097" width="1.75" style="214" customWidth="1"/>
    <col min="3098" max="3098" width="9.75" style="214" customWidth="1"/>
    <col min="3099" max="3101" width="9.125" style="214" customWidth="1"/>
    <col min="3102" max="3102" width="10.625" style="214" customWidth="1"/>
    <col min="3103" max="3328" width="9" style="214"/>
    <col min="3329" max="3329" width="0.625" style="214" customWidth="1"/>
    <col min="3330" max="3330" width="26.75" style="214" customWidth="1"/>
    <col min="3331" max="3331" width="21.875" style="214" customWidth="1"/>
    <col min="3332" max="3353" width="1.75" style="214" customWidth="1"/>
    <col min="3354" max="3354" width="9.75" style="214" customWidth="1"/>
    <col min="3355" max="3357" width="9.125" style="214" customWidth="1"/>
    <col min="3358" max="3358" width="10.625" style="214" customWidth="1"/>
    <col min="3359" max="3584" width="9" style="214"/>
    <col min="3585" max="3585" width="0.625" style="214" customWidth="1"/>
    <col min="3586" max="3586" width="26.75" style="214" customWidth="1"/>
    <col min="3587" max="3587" width="21.875" style="214" customWidth="1"/>
    <col min="3588" max="3609" width="1.75" style="214" customWidth="1"/>
    <col min="3610" max="3610" width="9.75" style="214" customWidth="1"/>
    <col min="3611" max="3613" width="9.125" style="214" customWidth="1"/>
    <col min="3614" max="3614" width="10.625" style="214" customWidth="1"/>
    <col min="3615" max="3840" width="9" style="214"/>
    <col min="3841" max="3841" width="0.625" style="214" customWidth="1"/>
    <col min="3842" max="3842" width="26.75" style="214" customWidth="1"/>
    <col min="3843" max="3843" width="21.875" style="214" customWidth="1"/>
    <col min="3844" max="3865" width="1.75" style="214" customWidth="1"/>
    <col min="3866" max="3866" width="9.75" style="214" customWidth="1"/>
    <col min="3867" max="3869" width="9.125" style="214" customWidth="1"/>
    <col min="3870" max="3870" width="10.625" style="214" customWidth="1"/>
    <col min="3871" max="4096" width="9" style="214"/>
    <col min="4097" max="4097" width="0.625" style="214" customWidth="1"/>
    <col min="4098" max="4098" width="26.75" style="214" customWidth="1"/>
    <col min="4099" max="4099" width="21.875" style="214" customWidth="1"/>
    <col min="4100" max="4121" width="1.75" style="214" customWidth="1"/>
    <col min="4122" max="4122" width="9.75" style="214" customWidth="1"/>
    <col min="4123" max="4125" width="9.125" style="214" customWidth="1"/>
    <col min="4126" max="4126" width="10.625" style="214" customWidth="1"/>
    <col min="4127" max="4352" width="9" style="214"/>
    <col min="4353" max="4353" width="0.625" style="214" customWidth="1"/>
    <col min="4354" max="4354" width="26.75" style="214" customWidth="1"/>
    <col min="4355" max="4355" width="21.875" style="214" customWidth="1"/>
    <col min="4356" max="4377" width="1.75" style="214" customWidth="1"/>
    <col min="4378" max="4378" width="9.75" style="214" customWidth="1"/>
    <col min="4379" max="4381" width="9.125" style="214" customWidth="1"/>
    <col min="4382" max="4382" width="10.625" style="214" customWidth="1"/>
    <col min="4383" max="4608" width="9" style="214"/>
    <col min="4609" max="4609" width="0.625" style="214" customWidth="1"/>
    <col min="4610" max="4610" width="26.75" style="214" customWidth="1"/>
    <col min="4611" max="4611" width="21.875" style="214" customWidth="1"/>
    <col min="4612" max="4633" width="1.75" style="214" customWidth="1"/>
    <col min="4634" max="4634" width="9.75" style="214" customWidth="1"/>
    <col min="4635" max="4637" width="9.125" style="214" customWidth="1"/>
    <col min="4638" max="4638" width="10.625" style="214" customWidth="1"/>
    <col min="4639" max="4864" width="9" style="214"/>
    <col min="4865" max="4865" width="0.625" style="214" customWidth="1"/>
    <col min="4866" max="4866" width="26.75" style="214" customWidth="1"/>
    <col min="4867" max="4867" width="21.875" style="214" customWidth="1"/>
    <col min="4868" max="4889" width="1.75" style="214" customWidth="1"/>
    <col min="4890" max="4890" width="9.75" style="214" customWidth="1"/>
    <col min="4891" max="4893" width="9.125" style="214" customWidth="1"/>
    <col min="4894" max="4894" width="10.625" style="214" customWidth="1"/>
    <col min="4895" max="5120" width="9" style="214"/>
    <col min="5121" max="5121" width="0.625" style="214" customWidth="1"/>
    <col min="5122" max="5122" width="26.75" style="214" customWidth="1"/>
    <col min="5123" max="5123" width="21.875" style="214" customWidth="1"/>
    <col min="5124" max="5145" width="1.75" style="214" customWidth="1"/>
    <col min="5146" max="5146" width="9.75" style="214" customWidth="1"/>
    <col min="5147" max="5149" width="9.125" style="214" customWidth="1"/>
    <col min="5150" max="5150" width="10.625" style="214" customWidth="1"/>
    <col min="5151" max="5376" width="9" style="214"/>
    <col min="5377" max="5377" width="0.625" style="214" customWidth="1"/>
    <col min="5378" max="5378" width="26.75" style="214" customWidth="1"/>
    <col min="5379" max="5379" width="21.875" style="214" customWidth="1"/>
    <col min="5380" max="5401" width="1.75" style="214" customWidth="1"/>
    <col min="5402" max="5402" width="9.75" style="214" customWidth="1"/>
    <col min="5403" max="5405" width="9.125" style="214" customWidth="1"/>
    <col min="5406" max="5406" width="10.625" style="214" customWidth="1"/>
    <col min="5407" max="5632" width="9" style="214"/>
    <col min="5633" max="5633" width="0.625" style="214" customWidth="1"/>
    <col min="5634" max="5634" width="26.75" style="214" customWidth="1"/>
    <col min="5635" max="5635" width="21.875" style="214" customWidth="1"/>
    <col min="5636" max="5657" width="1.75" style="214" customWidth="1"/>
    <col min="5658" max="5658" width="9.75" style="214" customWidth="1"/>
    <col min="5659" max="5661" width="9.125" style="214" customWidth="1"/>
    <col min="5662" max="5662" width="10.625" style="214" customWidth="1"/>
    <col min="5663" max="5888" width="9" style="214"/>
    <col min="5889" max="5889" width="0.625" style="214" customWidth="1"/>
    <col min="5890" max="5890" width="26.75" style="214" customWidth="1"/>
    <col min="5891" max="5891" width="21.875" style="214" customWidth="1"/>
    <col min="5892" max="5913" width="1.75" style="214" customWidth="1"/>
    <col min="5914" max="5914" width="9.75" style="214" customWidth="1"/>
    <col min="5915" max="5917" width="9.125" style="214" customWidth="1"/>
    <col min="5918" max="5918" width="10.625" style="214" customWidth="1"/>
    <col min="5919" max="6144" width="9" style="214"/>
    <col min="6145" max="6145" width="0.625" style="214" customWidth="1"/>
    <col min="6146" max="6146" width="26.75" style="214" customWidth="1"/>
    <col min="6147" max="6147" width="21.875" style="214" customWidth="1"/>
    <col min="6148" max="6169" width="1.75" style="214" customWidth="1"/>
    <col min="6170" max="6170" width="9.75" style="214" customWidth="1"/>
    <col min="6171" max="6173" width="9.125" style="214" customWidth="1"/>
    <col min="6174" max="6174" width="10.625" style="214" customWidth="1"/>
    <col min="6175" max="6400" width="9" style="214"/>
    <col min="6401" max="6401" width="0.625" style="214" customWidth="1"/>
    <col min="6402" max="6402" width="26.75" style="214" customWidth="1"/>
    <col min="6403" max="6403" width="21.875" style="214" customWidth="1"/>
    <col min="6404" max="6425" width="1.75" style="214" customWidth="1"/>
    <col min="6426" max="6426" width="9.75" style="214" customWidth="1"/>
    <col min="6427" max="6429" width="9.125" style="214" customWidth="1"/>
    <col min="6430" max="6430" width="10.625" style="214" customWidth="1"/>
    <col min="6431" max="6656" width="9" style="214"/>
    <col min="6657" max="6657" width="0.625" style="214" customWidth="1"/>
    <col min="6658" max="6658" width="26.75" style="214" customWidth="1"/>
    <col min="6659" max="6659" width="21.875" style="214" customWidth="1"/>
    <col min="6660" max="6681" width="1.75" style="214" customWidth="1"/>
    <col min="6682" max="6682" width="9.75" style="214" customWidth="1"/>
    <col min="6683" max="6685" width="9.125" style="214" customWidth="1"/>
    <col min="6686" max="6686" width="10.625" style="214" customWidth="1"/>
    <col min="6687" max="6912" width="9" style="214"/>
    <col min="6913" max="6913" width="0.625" style="214" customWidth="1"/>
    <col min="6914" max="6914" width="26.75" style="214" customWidth="1"/>
    <col min="6915" max="6915" width="21.875" style="214" customWidth="1"/>
    <col min="6916" max="6937" width="1.75" style="214" customWidth="1"/>
    <col min="6938" max="6938" width="9.75" style="214" customWidth="1"/>
    <col min="6939" max="6941" width="9.125" style="214" customWidth="1"/>
    <col min="6942" max="6942" width="10.625" style="214" customWidth="1"/>
    <col min="6943" max="7168" width="9" style="214"/>
    <col min="7169" max="7169" width="0.625" style="214" customWidth="1"/>
    <col min="7170" max="7170" width="26.75" style="214" customWidth="1"/>
    <col min="7171" max="7171" width="21.875" style="214" customWidth="1"/>
    <col min="7172" max="7193" width="1.75" style="214" customWidth="1"/>
    <col min="7194" max="7194" width="9.75" style="214" customWidth="1"/>
    <col min="7195" max="7197" width="9.125" style="214" customWidth="1"/>
    <col min="7198" max="7198" width="10.625" style="214" customWidth="1"/>
    <col min="7199" max="7424" width="9" style="214"/>
    <col min="7425" max="7425" width="0.625" style="214" customWidth="1"/>
    <col min="7426" max="7426" width="26.75" style="214" customWidth="1"/>
    <col min="7427" max="7427" width="21.875" style="214" customWidth="1"/>
    <col min="7428" max="7449" width="1.75" style="214" customWidth="1"/>
    <col min="7450" max="7450" width="9.75" style="214" customWidth="1"/>
    <col min="7451" max="7453" width="9.125" style="214" customWidth="1"/>
    <col min="7454" max="7454" width="10.625" style="214" customWidth="1"/>
    <col min="7455" max="7680" width="9" style="214"/>
    <col min="7681" max="7681" width="0.625" style="214" customWidth="1"/>
    <col min="7682" max="7682" width="26.75" style="214" customWidth="1"/>
    <col min="7683" max="7683" width="21.875" style="214" customWidth="1"/>
    <col min="7684" max="7705" width="1.75" style="214" customWidth="1"/>
    <col min="7706" max="7706" width="9.75" style="214" customWidth="1"/>
    <col min="7707" max="7709" width="9.125" style="214" customWidth="1"/>
    <col min="7710" max="7710" width="10.625" style="214" customWidth="1"/>
    <col min="7711" max="7936" width="9" style="214"/>
    <col min="7937" max="7937" width="0.625" style="214" customWidth="1"/>
    <col min="7938" max="7938" width="26.75" style="214" customWidth="1"/>
    <col min="7939" max="7939" width="21.875" style="214" customWidth="1"/>
    <col min="7940" max="7961" width="1.75" style="214" customWidth="1"/>
    <col min="7962" max="7962" width="9.75" style="214" customWidth="1"/>
    <col min="7963" max="7965" width="9.125" style="214" customWidth="1"/>
    <col min="7966" max="7966" width="10.625" style="214" customWidth="1"/>
    <col min="7967" max="8192" width="9" style="214"/>
    <col min="8193" max="8193" width="0.625" style="214" customWidth="1"/>
    <col min="8194" max="8194" width="26.75" style="214" customWidth="1"/>
    <col min="8195" max="8195" width="21.875" style="214" customWidth="1"/>
    <col min="8196" max="8217" width="1.75" style="214" customWidth="1"/>
    <col min="8218" max="8218" width="9.75" style="214" customWidth="1"/>
    <col min="8219" max="8221" width="9.125" style="214" customWidth="1"/>
    <col min="8222" max="8222" width="10.625" style="214" customWidth="1"/>
    <col min="8223" max="8448" width="9" style="214"/>
    <col min="8449" max="8449" width="0.625" style="214" customWidth="1"/>
    <col min="8450" max="8450" width="26.75" style="214" customWidth="1"/>
    <col min="8451" max="8451" width="21.875" style="214" customWidth="1"/>
    <col min="8452" max="8473" width="1.75" style="214" customWidth="1"/>
    <col min="8474" max="8474" width="9.75" style="214" customWidth="1"/>
    <col min="8475" max="8477" width="9.125" style="214" customWidth="1"/>
    <col min="8478" max="8478" width="10.625" style="214" customWidth="1"/>
    <col min="8479" max="8704" width="9" style="214"/>
    <col min="8705" max="8705" width="0.625" style="214" customWidth="1"/>
    <col min="8706" max="8706" width="26.75" style="214" customWidth="1"/>
    <col min="8707" max="8707" width="21.875" style="214" customWidth="1"/>
    <col min="8708" max="8729" width="1.75" style="214" customWidth="1"/>
    <col min="8730" max="8730" width="9.75" style="214" customWidth="1"/>
    <col min="8731" max="8733" width="9.125" style="214" customWidth="1"/>
    <col min="8734" max="8734" width="10.625" style="214" customWidth="1"/>
    <col min="8735" max="8960" width="9" style="214"/>
    <col min="8961" max="8961" width="0.625" style="214" customWidth="1"/>
    <col min="8962" max="8962" width="26.75" style="214" customWidth="1"/>
    <col min="8963" max="8963" width="21.875" style="214" customWidth="1"/>
    <col min="8964" max="8985" width="1.75" style="214" customWidth="1"/>
    <col min="8986" max="8986" width="9.75" style="214" customWidth="1"/>
    <col min="8987" max="8989" width="9.125" style="214" customWidth="1"/>
    <col min="8990" max="8990" width="10.625" style="214" customWidth="1"/>
    <col min="8991" max="9216" width="9" style="214"/>
    <col min="9217" max="9217" width="0.625" style="214" customWidth="1"/>
    <col min="9218" max="9218" width="26.75" style="214" customWidth="1"/>
    <col min="9219" max="9219" width="21.875" style="214" customWidth="1"/>
    <col min="9220" max="9241" width="1.75" style="214" customWidth="1"/>
    <col min="9242" max="9242" width="9.75" style="214" customWidth="1"/>
    <col min="9243" max="9245" width="9.125" style="214" customWidth="1"/>
    <col min="9246" max="9246" width="10.625" style="214" customWidth="1"/>
    <col min="9247" max="9472" width="9" style="214"/>
    <col min="9473" max="9473" width="0.625" style="214" customWidth="1"/>
    <col min="9474" max="9474" width="26.75" style="214" customWidth="1"/>
    <col min="9475" max="9475" width="21.875" style="214" customWidth="1"/>
    <col min="9476" max="9497" width="1.75" style="214" customWidth="1"/>
    <col min="9498" max="9498" width="9.75" style="214" customWidth="1"/>
    <col min="9499" max="9501" width="9.125" style="214" customWidth="1"/>
    <col min="9502" max="9502" width="10.625" style="214" customWidth="1"/>
    <col min="9503" max="9728" width="9" style="214"/>
    <col min="9729" max="9729" width="0.625" style="214" customWidth="1"/>
    <col min="9730" max="9730" width="26.75" style="214" customWidth="1"/>
    <col min="9731" max="9731" width="21.875" style="214" customWidth="1"/>
    <col min="9732" max="9753" width="1.75" style="214" customWidth="1"/>
    <col min="9754" max="9754" width="9.75" style="214" customWidth="1"/>
    <col min="9755" max="9757" width="9.125" style="214" customWidth="1"/>
    <col min="9758" max="9758" width="10.625" style="214" customWidth="1"/>
    <col min="9759" max="9984" width="9" style="214"/>
    <col min="9985" max="9985" width="0.625" style="214" customWidth="1"/>
    <col min="9986" max="9986" width="26.75" style="214" customWidth="1"/>
    <col min="9987" max="9987" width="21.875" style="214" customWidth="1"/>
    <col min="9988" max="10009" width="1.75" style="214" customWidth="1"/>
    <col min="10010" max="10010" width="9.75" style="214" customWidth="1"/>
    <col min="10011" max="10013" width="9.125" style="214" customWidth="1"/>
    <col min="10014" max="10014" width="10.625" style="214" customWidth="1"/>
    <col min="10015" max="10240" width="9" style="214"/>
    <col min="10241" max="10241" width="0.625" style="214" customWidth="1"/>
    <col min="10242" max="10242" width="26.75" style="214" customWidth="1"/>
    <col min="10243" max="10243" width="21.875" style="214" customWidth="1"/>
    <col min="10244" max="10265" width="1.75" style="214" customWidth="1"/>
    <col min="10266" max="10266" width="9.75" style="214" customWidth="1"/>
    <col min="10267" max="10269" width="9.125" style="214" customWidth="1"/>
    <col min="10270" max="10270" width="10.625" style="214" customWidth="1"/>
    <col min="10271" max="10496" width="9" style="214"/>
    <col min="10497" max="10497" width="0.625" style="214" customWidth="1"/>
    <col min="10498" max="10498" width="26.75" style="214" customWidth="1"/>
    <col min="10499" max="10499" width="21.875" style="214" customWidth="1"/>
    <col min="10500" max="10521" width="1.75" style="214" customWidth="1"/>
    <col min="10522" max="10522" width="9.75" style="214" customWidth="1"/>
    <col min="10523" max="10525" width="9.125" style="214" customWidth="1"/>
    <col min="10526" max="10526" width="10.625" style="214" customWidth="1"/>
    <col min="10527" max="10752" width="9" style="214"/>
    <col min="10753" max="10753" width="0.625" style="214" customWidth="1"/>
    <col min="10754" max="10754" width="26.75" style="214" customWidth="1"/>
    <col min="10755" max="10755" width="21.875" style="214" customWidth="1"/>
    <col min="10756" max="10777" width="1.75" style="214" customWidth="1"/>
    <col min="10778" max="10778" width="9.75" style="214" customWidth="1"/>
    <col min="10779" max="10781" width="9.125" style="214" customWidth="1"/>
    <col min="10782" max="10782" width="10.625" style="214" customWidth="1"/>
    <col min="10783" max="11008" width="9" style="214"/>
    <col min="11009" max="11009" width="0.625" style="214" customWidth="1"/>
    <col min="11010" max="11010" width="26.75" style="214" customWidth="1"/>
    <col min="11011" max="11011" width="21.875" style="214" customWidth="1"/>
    <col min="11012" max="11033" width="1.75" style="214" customWidth="1"/>
    <col min="11034" max="11034" width="9.75" style="214" customWidth="1"/>
    <col min="11035" max="11037" width="9.125" style="214" customWidth="1"/>
    <col min="11038" max="11038" width="10.625" style="214" customWidth="1"/>
    <col min="11039" max="11264" width="9" style="214"/>
    <col min="11265" max="11265" width="0.625" style="214" customWidth="1"/>
    <col min="11266" max="11266" width="26.75" style="214" customWidth="1"/>
    <col min="11267" max="11267" width="21.875" style="214" customWidth="1"/>
    <col min="11268" max="11289" width="1.75" style="214" customWidth="1"/>
    <col min="11290" max="11290" width="9.75" style="214" customWidth="1"/>
    <col min="11291" max="11293" width="9.125" style="214" customWidth="1"/>
    <col min="11294" max="11294" width="10.625" style="214" customWidth="1"/>
    <col min="11295" max="11520" width="9" style="214"/>
    <col min="11521" max="11521" width="0.625" style="214" customWidth="1"/>
    <col min="11522" max="11522" width="26.75" style="214" customWidth="1"/>
    <col min="11523" max="11523" width="21.875" style="214" customWidth="1"/>
    <col min="11524" max="11545" width="1.75" style="214" customWidth="1"/>
    <col min="11546" max="11546" width="9.75" style="214" customWidth="1"/>
    <col min="11547" max="11549" width="9.125" style="214" customWidth="1"/>
    <col min="11550" max="11550" width="10.625" style="214" customWidth="1"/>
    <col min="11551" max="11776" width="9" style="214"/>
    <col min="11777" max="11777" width="0.625" style="214" customWidth="1"/>
    <col min="11778" max="11778" width="26.75" style="214" customWidth="1"/>
    <col min="11779" max="11779" width="21.875" style="214" customWidth="1"/>
    <col min="11780" max="11801" width="1.75" style="214" customWidth="1"/>
    <col min="11802" max="11802" width="9.75" style="214" customWidth="1"/>
    <col min="11803" max="11805" width="9.125" style="214" customWidth="1"/>
    <col min="11806" max="11806" width="10.625" style="214" customWidth="1"/>
    <col min="11807" max="12032" width="9" style="214"/>
    <col min="12033" max="12033" width="0.625" style="214" customWidth="1"/>
    <col min="12034" max="12034" width="26.75" style="214" customWidth="1"/>
    <col min="12035" max="12035" width="21.875" style="214" customWidth="1"/>
    <col min="12036" max="12057" width="1.75" style="214" customWidth="1"/>
    <col min="12058" max="12058" width="9.75" style="214" customWidth="1"/>
    <col min="12059" max="12061" width="9.125" style="214" customWidth="1"/>
    <col min="12062" max="12062" width="10.625" style="214" customWidth="1"/>
    <col min="12063" max="12288" width="9" style="214"/>
    <col min="12289" max="12289" width="0.625" style="214" customWidth="1"/>
    <col min="12290" max="12290" width="26.75" style="214" customWidth="1"/>
    <col min="12291" max="12291" width="21.875" style="214" customWidth="1"/>
    <col min="12292" max="12313" width="1.75" style="214" customWidth="1"/>
    <col min="12314" max="12314" width="9.75" style="214" customWidth="1"/>
    <col min="12315" max="12317" width="9.125" style="214" customWidth="1"/>
    <col min="12318" max="12318" width="10.625" style="214" customWidth="1"/>
    <col min="12319" max="12544" width="9" style="214"/>
    <col min="12545" max="12545" width="0.625" style="214" customWidth="1"/>
    <col min="12546" max="12546" width="26.75" style="214" customWidth="1"/>
    <col min="12547" max="12547" width="21.875" style="214" customWidth="1"/>
    <col min="12548" max="12569" width="1.75" style="214" customWidth="1"/>
    <col min="12570" max="12570" width="9.75" style="214" customWidth="1"/>
    <col min="12571" max="12573" width="9.125" style="214" customWidth="1"/>
    <col min="12574" max="12574" width="10.625" style="214" customWidth="1"/>
    <col min="12575" max="12800" width="9" style="214"/>
    <col min="12801" max="12801" width="0.625" style="214" customWidth="1"/>
    <col min="12802" max="12802" width="26.75" style="214" customWidth="1"/>
    <col min="12803" max="12803" width="21.875" style="214" customWidth="1"/>
    <col min="12804" max="12825" width="1.75" style="214" customWidth="1"/>
    <col min="12826" max="12826" width="9.75" style="214" customWidth="1"/>
    <col min="12827" max="12829" width="9.125" style="214" customWidth="1"/>
    <col min="12830" max="12830" width="10.625" style="214" customWidth="1"/>
    <col min="12831" max="13056" width="9" style="214"/>
    <col min="13057" max="13057" width="0.625" style="214" customWidth="1"/>
    <col min="13058" max="13058" width="26.75" style="214" customWidth="1"/>
    <col min="13059" max="13059" width="21.875" style="214" customWidth="1"/>
    <col min="13060" max="13081" width="1.75" style="214" customWidth="1"/>
    <col min="13082" max="13082" width="9.75" style="214" customWidth="1"/>
    <col min="13083" max="13085" width="9.125" style="214" customWidth="1"/>
    <col min="13086" max="13086" width="10.625" style="214" customWidth="1"/>
    <col min="13087" max="13312" width="9" style="214"/>
    <col min="13313" max="13313" width="0.625" style="214" customWidth="1"/>
    <col min="13314" max="13314" width="26.75" style="214" customWidth="1"/>
    <col min="13315" max="13315" width="21.875" style="214" customWidth="1"/>
    <col min="13316" max="13337" width="1.75" style="214" customWidth="1"/>
    <col min="13338" max="13338" width="9.75" style="214" customWidth="1"/>
    <col min="13339" max="13341" width="9.125" style="214" customWidth="1"/>
    <col min="13342" max="13342" width="10.625" style="214" customWidth="1"/>
    <col min="13343" max="13568" width="9" style="214"/>
    <col min="13569" max="13569" width="0.625" style="214" customWidth="1"/>
    <col min="13570" max="13570" width="26.75" style="214" customWidth="1"/>
    <col min="13571" max="13571" width="21.875" style="214" customWidth="1"/>
    <col min="13572" max="13593" width="1.75" style="214" customWidth="1"/>
    <col min="13594" max="13594" width="9.75" style="214" customWidth="1"/>
    <col min="13595" max="13597" width="9.125" style="214" customWidth="1"/>
    <col min="13598" max="13598" width="10.625" style="214" customWidth="1"/>
    <col min="13599" max="13824" width="9" style="214"/>
    <col min="13825" max="13825" width="0.625" style="214" customWidth="1"/>
    <col min="13826" max="13826" width="26.75" style="214" customWidth="1"/>
    <col min="13827" max="13827" width="21.875" style="214" customWidth="1"/>
    <col min="13828" max="13849" width="1.75" style="214" customWidth="1"/>
    <col min="13850" max="13850" width="9.75" style="214" customWidth="1"/>
    <col min="13851" max="13853" width="9.125" style="214" customWidth="1"/>
    <col min="13854" max="13854" width="10.625" style="214" customWidth="1"/>
    <col min="13855" max="14080" width="9" style="214"/>
    <col min="14081" max="14081" width="0.625" style="214" customWidth="1"/>
    <col min="14082" max="14082" width="26.75" style="214" customWidth="1"/>
    <col min="14083" max="14083" width="21.875" style="214" customWidth="1"/>
    <col min="14084" max="14105" width="1.75" style="214" customWidth="1"/>
    <col min="14106" max="14106" width="9.75" style="214" customWidth="1"/>
    <col min="14107" max="14109" width="9.125" style="214" customWidth="1"/>
    <col min="14110" max="14110" width="10.625" style="214" customWidth="1"/>
    <col min="14111" max="14336" width="9" style="214"/>
    <col min="14337" max="14337" width="0.625" style="214" customWidth="1"/>
    <col min="14338" max="14338" width="26.75" style="214" customWidth="1"/>
    <col min="14339" max="14339" width="21.875" style="214" customWidth="1"/>
    <col min="14340" max="14361" width="1.75" style="214" customWidth="1"/>
    <col min="14362" max="14362" width="9.75" style="214" customWidth="1"/>
    <col min="14363" max="14365" width="9.125" style="214" customWidth="1"/>
    <col min="14366" max="14366" width="10.625" style="214" customWidth="1"/>
    <col min="14367" max="14592" width="9" style="214"/>
    <col min="14593" max="14593" width="0.625" style="214" customWidth="1"/>
    <col min="14594" max="14594" width="26.75" style="214" customWidth="1"/>
    <col min="14595" max="14595" width="21.875" style="214" customWidth="1"/>
    <col min="14596" max="14617" width="1.75" style="214" customWidth="1"/>
    <col min="14618" max="14618" width="9.75" style="214" customWidth="1"/>
    <col min="14619" max="14621" width="9.125" style="214" customWidth="1"/>
    <col min="14622" max="14622" width="10.625" style="214" customWidth="1"/>
    <col min="14623" max="14848" width="9" style="214"/>
    <col min="14849" max="14849" width="0.625" style="214" customWidth="1"/>
    <col min="14850" max="14850" width="26.75" style="214" customWidth="1"/>
    <col min="14851" max="14851" width="21.875" style="214" customWidth="1"/>
    <col min="14852" max="14873" width="1.75" style="214" customWidth="1"/>
    <col min="14874" max="14874" width="9.75" style="214" customWidth="1"/>
    <col min="14875" max="14877" width="9.125" style="214" customWidth="1"/>
    <col min="14878" max="14878" width="10.625" style="214" customWidth="1"/>
    <col min="14879" max="15104" width="9" style="214"/>
    <col min="15105" max="15105" width="0.625" style="214" customWidth="1"/>
    <col min="15106" max="15106" width="26.75" style="214" customWidth="1"/>
    <col min="15107" max="15107" width="21.875" style="214" customWidth="1"/>
    <col min="15108" max="15129" width="1.75" style="214" customWidth="1"/>
    <col min="15130" max="15130" width="9.75" style="214" customWidth="1"/>
    <col min="15131" max="15133" width="9.125" style="214" customWidth="1"/>
    <col min="15134" max="15134" width="10.625" style="214" customWidth="1"/>
    <col min="15135" max="15360" width="9" style="214"/>
    <col min="15361" max="15361" width="0.625" style="214" customWidth="1"/>
    <col min="15362" max="15362" width="26.75" style="214" customWidth="1"/>
    <col min="15363" max="15363" width="21.875" style="214" customWidth="1"/>
    <col min="15364" max="15385" width="1.75" style="214" customWidth="1"/>
    <col min="15386" max="15386" width="9.75" style="214" customWidth="1"/>
    <col min="15387" max="15389" width="9.125" style="214" customWidth="1"/>
    <col min="15390" max="15390" width="10.625" style="214" customWidth="1"/>
    <col min="15391" max="15616" width="9" style="214"/>
    <col min="15617" max="15617" width="0.625" style="214" customWidth="1"/>
    <col min="15618" max="15618" width="26.75" style="214" customWidth="1"/>
    <col min="15619" max="15619" width="21.875" style="214" customWidth="1"/>
    <col min="15620" max="15641" width="1.75" style="214" customWidth="1"/>
    <col min="15642" max="15642" width="9.75" style="214" customWidth="1"/>
    <col min="15643" max="15645" width="9.125" style="214" customWidth="1"/>
    <col min="15646" max="15646" width="10.625" style="214" customWidth="1"/>
    <col min="15647" max="15872" width="9" style="214"/>
    <col min="15873" max="15873" width="0.625" style="214" customWidth="1"/>
    <col min="15874" max="15874" width="26.75" style="214" customWidth="1"/>
    <col min="15875" max="15875" width="21.875" style="214" customWidth="1"/>
    <col min="15876" max="15897" width="1.75" style="214" customWidth="1"/>
    <col min="15898" max="15898" width="9.75" style="214" customWidth="1"/>
    <col min="15899" max="15901" width="9.125" style="214" customWidth="1"/>
    <col min="15902" max="15902" width="10.625" style="214" customWidth="1"/>
    <col min="15903" max="16128" width="9" style="214"/>
    <col min="16129" max="16129" width="0.625" style="214" customWidth="1"/>
    <col min="16130" max="16130" width="26.75" style="214" customWidth="1"/>
    <col min="16131" max="16131" width="21.875" style="214" customWidth="1"/>
    <col min="16132" max="16153" width="1.75" style="214" customWidth="1"/>
    <col min="16154" max="16154" width="9.75" style="214" customWidth="1"/>
    <col min="16155" max="16157" width="9.125" style="214" customWidth="1"/>
    <col min="16158" max="16158" width="10.625" style="214" customWidth="1"/>
    <col min="16159" max="16384" width="9" style="214"/>
  </cols>
  <sheetData>
    <row r="1" spans="2:30" ht="24.95" customHeight="1">
      <c r="B1" s="497" t="s">
        <v>363</v>
      </c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</row>
    <row r="2" spans="2:30" ht="9.9499999999999993" customHeight="1"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</row>
    <row r="3" spans="2:30" ht="30.75" customHeight="1">
      <c r="B3" s="215" t="s">
        <v>364</v>
      </c>
      <c r="C3" s="216" t="s">
        <v>365</v>
      </c>
      <c r="D3" s="499" t="s">
        <v>366</v>
      </c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217" t="s">
        <v>47</v>
      </c>
      <c r="AA3" s="216" t="s">
        <v>367</v>
      </c>
      <c r="AB3" s="216" t="s">
        <v>368</v>
      </c>
      <c r="AC3" s="216" t="s">
        <v>46</v>
      </c>
      <c r="AD3" s="218" t="s">
        <v>369</v>
      </c>
    </row>
    <row r="4" spans="2:30" ht="19.7" customHeight="1">
      <c r="B4" s="219" t="s">
        <v>382</v>
      </c>
      <c r="C4" s="220" t="s">
        <v>384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2" t="str">
        <f>TEXT(AA4+AB4+AC4,"#,##0")</f>
        <v>61,721</v>
      </c>
      <c r="AA4" s="223">
        <f>TRUNC(AA5+AA6+AA7+AA8)</f>
        <v>49479</v>
      </c>
      <c r="AB4" s="223">
        <f>TRUNC(AB5+AB6+AB7+AB8)</f>
        <v>6355</v>
      </c>
      <c r="AC4" s="223">
        <f>TRUNC(AC5+AC6+AC7+AC8)</f>
        <v>5887</v>
      </c>
      <c r="AD4" s="224"/>
    </row>
    <row r="5" spans="2:30" ht="19.7" customHeight="1">
      <c r="B5" s="225" t="s">
        <v>370</v>
      </c>
      <c r="C5" s="226" t="s">
        <v>44</v>
      </c>
      <c r="D5" s="500">
        <v>19844000</v>
      </c>
      <c r="E5" s="500"/>
      <c r="F5" s="500"/>
      <c r="G5" s="500"/>
      <c r="H5" s="500"/>
      <c r="I5" s="500" t="s">
        <v>371</v>
      </c>
      <c r="J5" s="500"/>
      <c r="K5" s="500">
        <f>기계경비1!F12</f>
        <v>2967</v>
      </c>
      <c r="L5" s="500"/>
      <c r="M5" s="500"/>
      <c r="N5" s="221" t="s">
        <v>153</v>
      </c>
      <c r="O5" s="500" t="s">
        <v>372</v>
      </c>
      <c r="P5" s="500"/>
      <c r="Q5" s="500"/>
      <c r="R5" s="221"/>
      <c r="S5" s="221"/>
      <c r="T5" s="221"/>
      <c r="U5" s="221"/>
      <c r="V5" s="221"/>
      <c r="W5" s="221"/>
      <c r="X5" s="221"/>
      <c r="Y5" s="221"/>
      <c r="Z5" s="227"/>
      <c r="AA5" s="228"/>
      <c r="AB5" s="228"/>
      <c r="AC5" s="229">
        <f>TRUNC(D5*K5*0.0000001,1)</f>
        <v>5887.7</v>
      </c>
      <c r="AD5" s="230" t="s">
        <v>373</v>
      </c>
    </row>
    <row r="6" spans="2:30" ht="19.7" customHeight="1">
      <c r="B6" s="225" t="s">
        <v>374</v>
      </c>
      <c r="C6" s="226" t="s">
        <v>380</v>
      </c>
      <c r="D6" s="501">
        <v>2.9</v>
      </c>
      <c r="E6" s="500"/>
      <c r="F6" s="500"/>
      <c r="G6" s="500"/>
      <c r="H6" s="221" t="s">
        <v>375</v>
      </c>
      <c r="I6" s="221" t="s">
        <v>153</v>
      </c>
      <c r="J6" s="500">
        <f>재료비!G6</f>
        <v>1588</v>
      </c>
      <c r="K6" s="500"/>
      <c r="L6" s="500"/>
      <c r="M6" s="500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7"/>
      <c r="AA6" s="228"/>
      <c r="AB6" s="229">
        <f>TRUNC(D6*J6,1)</f>
        <v>4605.2</v>
      </c>
      <c r="AC6" s="229"/>
      <c r="AD6" s="230" t="s">
        <v>44</v>
      </c>
    </row>
    <row r="7" spans="2:30" ht="19.7" customHeight="1">
      <c r="B7" s="225" t="s">
        <v>379</v>
      </c>
      <c r="C7" s="226" t="s">
        <v>376</v>
      </c>
      <c r="D7" s="501">
        <v>38</v>
      </c>
      <c r="E7" s="500"/>
      <c r="F7" s="500"/>
      <c r="G7" s="500"/>
      <c r="H7" s="221" t="s">
        <v>377</v>
      </c>
      <c r="I7" s="221" t="s">
        <v>153</v>
      </c>
      <c r="J7" s="500">
        <f>AB6</f>
        <v>4605.2</v>
      </c>
      <c r="K7" s="500"/>
      <c r="L7" s="500"/>
      <c r="M7" s="500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7"/>
      <c r="AA7" s="228"/>
      <c r="AB7" s="229">
        <f>TRUNC(D7/100*J7,1)</f>
        <v>1749.9</v>
      </c>
      <c r="AC7" s="229"/>
      <c r="AD7" s="230" t="s">
        <v>44</v>
      </c>
    </row>
    <row r="8" spans="2:30" ht="19.7" customHeight="1">
      <c r="B8" s="225" t="s">
        <v>381</v>
      </c>
      <c r="C8" s="226" t="s">
        <v>44</v>
      </c>
      <c r="D8" s="502">
        <v>1</v>
      </c>
      <c r="E8" s="500"/>
      <c r="F8" s="500"/>
      <c r="G8" s="221" t="s">
        <v>74</v>
      </c>
      <c r="H8" s="221" t="s">
        <v>153</v>
      </c>
      <c r="I8" s="500">
        <f>노임단가!E7</f>
        <v>238936</v>
      </c>
      <c r="J8" s="500"/>
      <c r="K8" s="500"/>
      <c r="L8" s="500"/>
      <c r="M8" s="221" t="s">
        <v>153</v>
      </c>
      <c r="N8" s="500" t="s">
        <v>378</v>
      </c>
      <c r="O8" s="500"/>
      <c r="P8" s="500"/>
      <c r="Q8" s="500"/>
      <c r="R8" s="500"/>
      <c r="S8" s="500"/>
      <c r="T8" s="500"/>
      <c r="U8" s="500"/>
      <c r="V8" s="500"/>
      <c r="W8" s="221"/>
      <c r="X8" s="221"/>
      <c r="Y8" s="221"/>
      <c r="Z8" s="227"/>
      <c r="AA8" s="229">
        <v>49479.1</v>
      </c>
      <c r="AB8" s="229"/>
      <c r="AC8" s="229"/>
      <c r="AD8" s="230" t="s">
        <v>44</v>
      </c>
    </row>
    <row r="9" spans="2:30" ht="19.7" customHeight="1">
      <c r="B9" s="225" t="s">
        <v>44</v>
      </c>
      <c r="C9" s="226" t="s">
        <v>44</v>
      </c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7"/>
      <c r="AA9" s="228"/>
      <c r="AB9" s="228"/>
      <c r="AC9" s="228"/>
      <c r="AD9" s="230" t="s">
        <v>44</v>
      </c>
    </row>
  </sheetData>
  <mergeCells count="13">
    <mergeCell ref="N8:V8"/>
    <mergeCell ref="D6:G6"/>
    <mergeCell ref="J6:M6"/>
    <mergeCell ref="D7:G7"/>
    <mergeCell ref="J7:M7"/>
    <mergeCell ref="D8:F8"/>
    <mergeCell ref="I8:L8"/>
    <mergeCell ref="B1:AD2"/>
    <mergeCell ref="D3:Y3"/>
    <mergeCell ref="D5:H5"/>
    <mergeCell ref="I5:J5"/>
    <mergeCell ref="K5:M5"/>
    <mergeCell ref="O5:Q5"/>
  </mergeCells>
  <phoneticPr fontId="2" type="noConversion"/>
  <pageMargins left="0.98425196850393704" right="7.874015748031496E-2" top="0.6692913385826772" bottom="0.59055118110236215" header="0.5" footer="0.5"/>
  <pageSetup paperSize="9" scale="8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view="pageBreakPreview" zoomScaleNormal="100" zoomScaleSheetLayoutView="100" workbookViewId="0">
      <pane ySplit="5" topLeftCell="A6" activePane="bottomLeft" state="frozen"/>
      <selection activeCell="C6" sqref="C6"/>
      <selection pane="bottomLeft" activeCell="C6" sqref="C6"/>
    </sheetView>
  </sheetViews>
  <sheetFormatPr defaultRowHeight="16.5"/>
  <cols>
    <col min="1" max="1" width="15.25" customWidth="1"/>
    <col min="2" max="2" width="12.5" customWidth="1"/>
    <col min="4" max="4" width="11.625" customWidth="1"/>
    <col min="5" max="5" width="14.125" customWidth="1"/>
    <col min="6" max="12" width="12" customWidth="1"/>
    <col min="14" max="14" width="13" customWidth="1"/>
  </cols>
  <sheetData>
    <row r="1" spans="1:12">
      <c r="A1" s="488" t="str">
        <f>총괄표지!B3</f>
        <v>2026년 국도 침하 취약구간 GPR탐사 및 통합관리시스템 구축 용역</v>
      </c>
      <c r="B1" s="488"/>
      <c r="C1" s="488"/>
      <c r="D1" s="488"/>
      <c r="E1" s="488"/>
      <c r="F1" s="488"/>
      <c r="G1" s="488"/>
      <c r="H1" s="488"/>
    </row>
    <row r="2" spans="1:12" ht="26.25">
      <c r="A2" s="503" t="s">
        <v>192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</row>
    <row r="4" spans="1:12">
      <c r="A4" s="504" t="s">
        <v>193</v>
      </c>
      <c r="B4" s="504" t="s">
        <v>194</v>
      </c>
      <c r="C4" s="504" t="s">
        <v>42</v>
      </c>
      <c r="D4" s="504" t="s">
        <v>195</v>
      </c>
      <c r="E4" s="504" t="s">
        <v>196</v>
      </c>
      <c r="F4" s="184" t="s">
        <v>197</v>
      </c>
      <c r="G4" s="184"/>
      <c r="H4" s="184" t="s">
        <v>198</v>
      </c>
      <c r="I4" s="184"/>
      <c r="J4" s="184" t="s">
        <v>199</v>
      </c>
      <c r="K4" s="184"/>
      <c r="L4" s="504" t="s">
        <v>180</v>
      </c>
    </row>
    <row r="5" spans="1:12">
      <c r="A5" s="504"/>
      <c r="B5" s="504"/>
      <c r="C5" s="504"/>
      <c r="D5" s="504"/>
      <c r="E5" s="504"/>
      <c r="F5" s="192" t="s">
        <v>200</v>
      </c>
      <c r="G5" s="192" t="s">
        <v>201</v>
      </c>
      <c r="H5" s="192" t="s">
        <v>200</v>
      </c>
      <c r="I5" s="192" t="s">
        <v>201</v>
      </c>
      <c r="J5" s="192" t="s">
        <v>200</v>
      </c>
      <c r="K5" s="192" t="s">
        <v>201</v>
      </c>
      <c r="L5" s="504"/>
    </row>
    <row r="6" spans="1:12">
      <c r="A6" s="205" t="s">
        <v>212</v>
      </c>
      <c r="B6" s="206"/>
      <c r="C6" s="148"/>
      <c r="D6" s="148"/>
      <c r="E6" s="207"/>
      <c r="F6" s="208"/>
      <c r="G6" s="207" t="s">
        <v>202</v>
      </c>
      <c r="H6" s="208"/>
      <c r="I6" s="207" t="s">
        <v>202</v>
      </c>
      <c r="J6" s="208"/>
      <c r="K6" s="207"/>
      <c r="L6" s="209"/>
    </row>
    <row r="7" spans="1:12">
      <c r="A7" s="149" t="s">
        <v>70</v>
      </c>
      <c r="B7" s="148"/>
      <c r="C7" s="148" t="s">
        <v>73</v>
      </c>
      <c r="D7" s="153">
        <v>0.15</v>
      </c>
      <c r="E7" s="151">
        <f t="shared" ref="E7:E13" si="0">(G7+I7+K7)</f>
        <v>36308</v>
      </c>
      <c r="F7" s="151">
        <v>242055</v>
      </c>
      <c r="G7" s="151">
        <f>TRUNC(D7*F7)</f>
        <v>36308</v>
      </c>
      <c r="H7" s="151"/>
      <c r="I7" s="151"/>
      <c r="J7" s="151"/>
      <c r="K7" s="151"/>
      <c r="L7" s="148"/>
    </row>
    <row r="8" spans="1:12">
      <c r="A8" s="149" t="s">
        <v>71</v>
      </c>
      <c r="B8" s="148" t="s">
        <v>202</v>
      </c>
      <c r="C8" s="148" t="s">
        <v>74</v>
      </c>
      <c r="D8" s="153">
        <v>0.15</v>
      </c>
      <c r="E8" s="151">
        <f t="shared" si="0"/>
        <v>33074</v>
      </c>
      <c r="F8" s="151">
        <v>220497</v>
      </c>
      <c r="G8" s="151">
        <f>TRUNC(D8*F8)</f>
        <v>33074</v>
      </c>
      <c r="H8" s="151"/>
      <c r="I8" s="151"/>
      <c r="J8" s="151"/>
      <c r="K8" s="151"/>
      <c r="L8" s="148"/>
    </row>
    <row r="9" spans="1:12">
      <c r="A9" s="149" t="s">
        <v>75</v>
      </c>
      <c r="B9" s="148" t="s">
        <v>202</v>
      </c>
      <c r="C9" s="148" t="s">
        <v>74</v>
      </c>
      <c r="D9" s="153">
        <v>0.25</v>
      </c>
      <c r="E9" s="151">
        <f t="shared" si="0"/>
        <v>43132</v>
      </c>
      <c r="F9" s="151">
        <v>172529</v>
      </c>
      <c r="G9" s="151">
        <f>TRUNC(D9*F9)</f>
        <v>43132</v>
      </c>
      <c r="H9" s="151"/>
      <c r="I9" s="151"/>
      <c r="J9" s="151"/>
      <c r="K9" s="151"/>
      <c r="L9" s="148"/>
    </row>
    <row r="10" spans="1:12">
      <c r="A10" s="149" t="s">
        <v>76</v>
      </c>
      <c r="B10" s="148"/>
      <c r="C10" s="148" t="s">
        <v>77</v>
      </c>
      <c r="D10" s="150">
        <v>1.8</v>
      </c>
      <c r="E10" s="151">
        <f t="shared" si="0"/>
        <v>2091</v>
      </c>
      <c r="F10" s="151"/>
      <c r="G10" s="151"/>
      <c r="H10" s="211">
        <v>1162</v>
      </c>
      <c r="I10" s="151">
        <f>TRUNC(D10*H10)</f>
        <v>2091</v>
      </c>
      <c r="J10" s="151"/>
      <c r="K10" s="151"/>
      <c r="L10" s="148"/>
    </row>
    <row r="11" spans="1:12">
      <c r="A11" s="149" t="s">
        <v>79</v>
      </c>
      <c r="B11" s="148" t="s">
        <v>80</v>
      </c>
      <c r="C11" s="148" t="s">
        <v>81</v>
      </c>
      <c r="D11" s="150">
        <v>38</v>
      </c>
      <c r="E11" s="151">
        <f t="shared" si="0"/>
        <v>794</v>
      </c>
      <c r="F11" s="151"/>
      <c r="G11" s="151"/>
      <c r="H11" s="151">
        <f>+I10</f>
        <v>2091</v>
      </c>
      <c r="I11" s="151">
        <f>TRUNC(D11/100*H11)</f>
        <v>794</v>
      </c>
      <c r="J11" s="151"/>
      <c r="K11" s="151"/>
      <c r="L11" s="148"/>
    </row>
    <row r="12" spans="1:12">
      <c r="A12" s="149" t="s">
        <v>82</v>
      </c>
      <c r="B12" s="148" t="s">
        <v>83</v>
      </c>
      <c r="C12" s="148" t="s">
        <v>213</v>
      </c>
      <c r="D12" s="150">
        <v>0.4</v>
      </c>
      <c r="E12" s="151">
        <f t="shared" si="0"/>
        <v>49681</v>
      </c>
      <c r="F12" s="151"/>
      <c r="G12" s="151"/>
      <c r="H12" s="151"/>
      <c r="I12" s="151"/>
      <c r="J12" s="151">
        <v>124204</v>
      </c>
      <c r="K12" s="151">
        <f>TRUNC(D12*J12)</f>
        <v>49681</v>
      </c>
      <c r="L12" s="148"/>
    </row>
    <row r="13" spans="1:12">
      <c r="A13" s="149" t="s">
        <v>84</v>
      </c>
      <c r="B13" s="148"/>
      <c r="C13" s="148" t="s">
        <v>213</v>
      </c>
      <c r="D13" s="153">
        <v>0.6</v>
      </c>
      <c r="E13" s="151">
        <f t="shared" si="0"/>
        <v>4372</v>
      </c>
      <c r="F13" s="151"/>
      <c r="G13" s="151"/>
      <c r="H13" s="151"/>
      <c r="I13" s="151"/>
      <c r="J13" s="151">
        <v>7288</v>
      </c>
      <c r="K13" s="151">
        <f>TRUNC(D13*J13)</f>
        <v>4372</v>
      </c>
      <c r="L13" s="148"/>
    </row>
    <row r="14" spans="1:12">
      <c r="A14" s="149" t="s">
        <v>207</v>
      </c>
      <c r="B14" s="148"/>
      <c r="C14" s="148"/>
      <c r="D14" s="150"/>
      <c r="E14" s="151">
        <f>SUM(E7:E13)</f>
        <v>169452</v>
      </c>
      <c r="F14" s="151"/>
      <c r="G14" s="151">
        <f>SUM(G7:G13)</f>
        <v>112514</v>
      </c>
      <c r="H14" s="151"/>
      <c r="I14" s="151">
        <f>SUM(I7:I13)</f>
        <v>2885</v>
      </c>
      <c r="J14" s="151"/>
      <c r="K14" s="151">
        <f>SUM(K7:K13)</f>
        <v>54053</v>
      </c>
      <c r="L14" s="148"/>
    </row>
    <row r="15" spans="1:12" s="210" customFormat="1" ht="17.25" customHeight="1">
      <c r="A15" s="154"/>
      <c r="B15" s="155"/>
      <c r="C15" s="156"/>
      <c r="D15" s="158"/>
      <c r="E15" s="157"/>
      <c r="F15" s="157"/>
      <c r="G15" s="157"/>
      <c r="H15" s="157"/>
      <c r="I15" s="157"/>
      <c r="J15" s="157"/>
      <c r="K15" s="157"/>
      <c r="L15" s="148"/>
    </row>
    <row r="16" spans="1:12" s="210" customFormat="1" ht="17.25" customHeight="1">
      <c r="A16" s="205" t="s">
        <v>308</v>
      </c>
      <c r="B16" s="206"/>
      <c r="C16" s="148"/>
      <c r="D16" s="148"/>
      <c r="E16" s="207"/>
      <c r="F16" s="208"/>
      <c r="G16" s="207" t="s">
        <v>202</v>
      </c>
      <c r="H16" s="208"/>
      <c r="I16" s="207" t="s">
        <v>202</v>
      </c>
      <c r="J16" s="208"/>
      <c r="K16" s="207"/>
      <c r="L16" s="209"/>
    </row>
    <row r="17" spans="1:12" s="210" customFormat="1" ht="17.25" customHeight="1">
      <c r="A17" s="149" t="s">
        <v>70</v>
      </c>
      <c r="B17" s="148"/>
      <c r="C17" s="148" t="s">
        <v>73</v>
      </c>
      <c r="D17" s="150">
        <v>0.1</v>
      </c>
      <c r="E17" s="151">
        <f t="shared" ref="E17:E24" si="1">(G17+I17+K17)</f>
        <v>24205</v>
      </c>
      <c r="F17" s="151">
        <v>242055</v>
      </c>
      <c r="G17" s="151">
        <f>TRUNC(D17*F17)</f>
        <v>24205</v>
      </c>
      <c r="H17" s="151"/>
      <c r="I17" s="151"/>
      <c r="J17" s="151"/>
      <c r="K17" s="151"/>
      <c r="L17" s="152"/>
    </row>
    <row r="18" spans="1:12" s="210" customFormat="1" ht="17.25" customHeight="1">
      <c r="A18" s="149" t="s">
        <v>71</v>
      </c>
      <c r="B18" s="148" t="s">
        <v>202</v>
      </c>
      <c r="C18" s="148" t="s">
        <v>74</v>
      </c>
      <c r="D18" s="150">
        <v>0.1</v>
      </c>
      <c r="E18" s="151">
        <f t="shared" si="1"/>
        <v>22049</v>
      </c>
      <c r="F18" s="151">
        <v>220497</v>
      </c>
      <c r="G18" s="151">
        <f>TRUNC(D18*F18)</f>
        <v>22049</v>
      </c>
      <c r="H18" s="151"/>
      <c r="I18" s="151"/>
      <c r="J18" s="151"/>
      <c r="K18" s="151"/>
      <c r="L18" s="152"/>
    </row>
    <row r="19" spans="1:12" s="210" customFormat="1" ht="17.25" customHeight="1">
      <c r="A19" s="149" t="s">
        <v>75</v>
      </c>
      <c r="B19" s="148" t="s">
        <v>202</v>
      </c>
      <c r="C19" s="148" t="s">
        <v>74</v>
      </c>
      <c r="D19" s="150">
        <v>0.1</v>
      </c>
      <c r="E19" s="151">
        <f t="shared" si="1"/>
        <v>17252</v>
      </c>
      <c r="F19" s="151">
        <v>172529</v>
      </c>
      <c r="G19" s="151">
        <f>TRUNC(D19*F19)</f>
        <v>17252</v>
      </c>
      <c r="H19" s="151"/>
      <c r="I19" s="151"/>
      <c r="J19" s="151"/>
      <c r="K19" s="151"/>
      <c r="L19" s="152"/>
    </row>
    <row r="20" spans="1:12" s="210" customFormat="1" ht="17.25" customHeight="1">
      <c r="A20" s="149" t="s">
        <v>76</v>
      </c>
      <c r="B20" s="148"/>
      <c r="C20" s="148" t="s">
        <v>77</v>
      </c>
      <c r="D20" s="150">
        <v>1.2</v>
      </c>
      <c r="E20" s="151">
        <f t="shared" si="1"/>
        <v>1394</v>
      </c>
      <c r="F20" s="151"/>
      <c r="G20" s="151"/>
      <c r="H20" s="151">
        <v>1162</v>
      </c>
      <c r="I20" s="151">
        <f>TRUNC(D20*H20)</f>
        <v>1394</v>
      </c>
      <c r="J20" s="151"/>
      <c r="K20" s="151"/>
      <c r="L20" s="148"/>
    </row>
    <row r="21" spans="1:12" s="210" customFormat="1" ht="17.25" customHeight="1">
      <c r="A21" s="149" t="s">
        <v>79</v>
      </c>
      <c r="B21" s="148" t="s">
        <v>80</v>
      </c>
      <c r="C21" s="148" t="s">
        <v>81</v>
      </c>
      <c r="D21" s="150">
        <v>38</v>
      </c>
      <c r="E21" s="151">
        <f t="shared" si="1"/>
        <v>529</v>
      </c>
      <c r="F21" s="151"/>
      <c r="G21" s="151"/>
      <c r="H21" s="151">
        <f>+I20</f>
        <v>1394</v>
      </c>
      <c r="I21" s="151">
        <f>TRUNC(D21/100*H21)</f>
        <v>529</v>
      </c>
      <c r="J21" s="151"/>
      <c r="K21" s="151"/>
      <c r="L21" s="148"/>
    </row>
    <row r="22" spans="1:12" s="210" customFormat="1" ht="17.25" customHeight="1">
      <c r="A22" s="149" t="s">
        <v>82</v>
      </c>
      <c r="B22" s="148" t="s">
        <v>182</v>
      </c>
      <c r="C22" s="148" t="s">
        <v>213</v>
      </c>
      <c r="D22" s="150">
        <v>0.4</v>
      </c>
      <c r="E22" s="151">
        <f t="shared" si="1"/>
        <v>16642</v>
      </c>
      <c r="F22" s="151"/>
      <c r="G22" s="151"/>
      <c r="H22" s="151"/>
      <c r="I22" s="151"/>
      <c r="J22" s="151">
        <v>41607</v>
      </c>
      <c r="K22" s="151">
        <f>TRUNC(D22*J22)</f>
        <v>16642</v>
      </c>
      <c r="L22" s="148"/>
    </row>
    <row r="23" spans="1:12" s="210" customFormat="1" ht="17.25" customHeight="1">
      <c r="A23" s="149" t="s">
        <v>87</v>
      </c>
      <c r="B23" s="148"/>
      <c r="C23" s="148" t="s">
        <v>213</v>
      </c>
      <c r="D23" s="150">
        <v>0.4</v>
      </c>
      <c r="E23" s="151">
        <f>(G23+I23+K23)</f>
        <v>767</v>
      </c>
      <c r="F23" s="151"/>
      <c r="G23" s="151"/>
      <c r="H23" s="151"/>
      <c r="I23" s="151"/>
      <c r="J23" s="151">
        <v>1918</v>
      </c>
      <c r="K23" s="151">
        <f>TRUNC(D23*J23)</f>
        <v>767</v>
      </c>
      <c r="L23" s="148"/>
    </row>
    <row r="24" spans="1:12" s="210" customFormat="1" ht="17.25" customHeight="1">
      <c r="A24" s="149" t="s">
        <v>84</v>
      </c>
      <c r="B24" s="148"/>
      <c r="C24" s="148" t="s">
        <v>213</v>
      </c>
      <c r="D24" s="150">
        <v>0.4</v>
      </c>
      <c r="E24" s="151">
        <f t="shared" si="1"/>
        <v>2915</v>
      </c>
      <c r="F24" s="151"/>
      <c r="G24" s="151"/>
      <c r="H24" s="151"/>
      <c r="I24" s="151"/>
      <c r="J24" s="151">
        <v>7288</v>
      </c>
      <c r="K24" s="151">
        <f>TRUNC(D24*J24)</f>
        <v>2915</v>
      </c>
      <c r="L24" s="148"/>
    </row>
    <row r="25" spans="1:12" s="210" customFormat="1" ht="17.25" customHeight="1">
      <c r="A25" s="149" t="s">
        <v>207</v>
      </c>
      <c r="B25" s="148"/>
      <c r="C25" s="148"/>
      <c r="D25" s="150"/>
      <c r="E25" s="151">
        <f>SUM(E17:E24)</f>
        <v>85753</v>
      </c>
      <c r="F25" s="151"/>
      <c r="G25" s="151">
        <f>SUM(G17:G24)</f>
        <v>63506</v>
      </c>
      <c r="H25" s="151"/>
      <c r="I25" s="151">
        <f>SUM(I18:I24)</f>
        <v>1923</v>
      </c>
      <c r="J25" s="151"/>
      <c r="K25" s="151">
        <f>SUM(K17:K24)</f>
        <v>20324</v>
      </c>
      <c r="L25" s="148"/>
    </row>
    <row r="26" spans="1:12" s="210" customFormat="1" ht="17.25" customHeight="1">
      <c r="A26" s="154"/>
      <c r="B26" s="155"/>
      <c r="C26" s="156"/>
      <c r="D26" s="158"/>
      <c r="E26" s="157"/>
      <c r="F26" s="157"/>
      <c r="G26" s="157"/>
      <c r="H26" s="157"/>
      <c r="I26" s="157"/>
      <c r="J26" s="157"/>
      <c r="K26" s="157"/>
      <c r="L26" s="148"/>
    </row>
    <row r="27" spans="1:12" s="210" customFormat="1" ht="17.25" customHeight="1">
      <c r="A27" s="205" t="s">
        <v>309</v>
      </c>
      <c r="B27" s="206"/>
      <c r="C27" s="148"/>
      <c r="D27" s="148"/>
      <c r="E27" s="207"/>
      <c r="F27" s="208"/>
      <c r="G27" s="207" t="s">
        <v>202</v>
      </c>
      <c r="H27" s="208"/>
      <c r="I27" s="207"/>
      <c r="J27" s="208"/>
      <c r="K27" s="207"/>
      <c r="L27" s="209"/>
    </row>
    <row r="28" spans="1:12" s="210" customFormat="1" ht="17.25" customHeight="1">
      <c r="A28" s="149" t="s">
        <v>70</v>
      </c>
      <c r="B28" s="148"/>
      <c r="C28" s="148" t="s">
        <v>73</v>
      </c>
      <c r="D28" s="150">
        <v>0.3</v>
      </c>
      <c r="E28" s="151">
        <f t="shared" ref="E28:E33" si="2">(G28+I28+K28)</f>
        <v>72616</v>
      </c>
      <c r="F28" s="151">
        <v>242055</v>
      </c>
      <c r="G28" s="151">
        <f>TRUNC(D28*F28)</f>
        <v>72616</v>
      </c>
      <c r="H28" s="151"/>
      <c r="I28" s="151"/>
      <c r="J28" s="151"/>
      <c r="K28" s="151"/>
      <c r="L28" s="148"/>
    </row>
    <row r="29" spans="1:12" s="210" customFormat="1" ht="17.25" customHeight="1">
      <c r="A29" s="149" t="s">
        <v>71</v>
      </c>
      <c r="B29" s="148" t="s">
        <v>202</v>
      </c>
      <c r="C29" s="148" t="s">
        <v>74</v>
      </c>
      <c r="D29" s="150">
        <v>0.3</v>
      </c>
      <c r="E29" s="151">
        <f t="shared" si="2"/>
        <v>66149</v>
      </c>
      <c r="F29" s="151">
        <v>220497</v>
      </c>
      <c r="G29" s="151">
        <f>TRUNC(D29*F29)</f>
        <v>66149</v>
      </c>
      <c r="H29" s="151"/>
      <c r="I29" s="151"/>
      <c r="J29" s="151"/>
      <c r="K29" s="151"/>
      <c r="L29" s="148"/>
    </row>
    <row r="30" spans="1:12" s="210" customFormat="1" ht="17.25" customHeight="1">
      <c r="A30" s="149" t="s">
        <v>93</v>
      </c>
      <c r="B30" s="148"/>
      <c r="C30" s="148" t="s">
        <v>74</v>
      </c>
      <c r="D30" s="150">
        <v>0.3</v>
      </c>
      <c r="E30" s="151">
        <f t="shared" si="2"/>
        <v>58097</v>
      </c>
      <c r="F30" s="151"/>
      <c r="G30" s="151"/>
      <c r="H30" s="151"/>
      <c r="I30" s="151"/>
      <c r="J30" s="151">
        <v>193659</v>
      </c>
      <c r="K30" s="151">
        <f>TRUNC(D30*J30)</f>
        <v>58097</v>
      </c>
      <c r="L30" s="148"/>
    </row>
    <row r="31" spans="1:12" s="210" customFormat="1" ht="17.25" customHeight="1">
      <c r="A31" s="149" t="s">
        <v>310</v>
      </c>
      <c r="B31" s="148" t="s">
        <v>311</v>
      </c>
      <c r="C31" s="148" t="s">
        <v>173</v>
      </c>
      <c r="D31" s="150">
        <v>0.1</v>
      </c>
      <c r="E31" s="151">
        <f t="shared" si="2"/>
        <v>1600</v>
      </c>
      <c r="F31" s="151"/>
      <c r="G31" s="151"/>
      <c r="H31" s="151">
        <v>16000</v>
      </c>
      <c r="I31" s="151">
        <f>TRUNC(D31*H31)</f>
        <v>1600</v>
      </c>
      <c r="J31" s="151"/>
      <c r="K31" s="151"/>
      <c r="L31" s="148"/>
    </row>
    <row r="32" spans="1:12" s="210" customFormat="1" ht="17.25" customHeight="1">
      <c r="A32" s="149" t="s">
        <v>95</v>
      </c>
      <c r="B32" s="148"/>
      <c r="C32" s="148" t="s">
        <v>77</v>
      </c>
      <c r="D32" s="150">
        <v>0.6</v>
      </c>
      <c r="E32" s="151">
        <f t="shared" si="2"/>
        <v>802</v>
      </c>
      <c r="F32" s="151"/>
      <c r="G32" s="151"/>
      <c r="H32" s="151">
        <v>1337</v>
      </c>
      <c r="I32" s="151">
        <f>TRUNC(D32*H32)</f>
        <v>802</v>
      </c>
      <c r="J32" s="151"/>
      <c r="K32" s="151"/>
      <c r="L32" s="148"/>
    </row>
    <row r="33" spans="1:12" s="210" customFormat="1" ht="17.25" customHeight="1">
      <c r="A33" s="149" t="s">
        <v>79</v>
      </c>
      <c r="B33" s="148" t="s">
        <v>80</v>
      </c>
      <c r="C33" s="148" t="s">
        <v>81</v>
      </c>
      <c r="D33" s="150">
        <v>38</v>
      </c>
      <c r="E33" s="151">
        <f t="shared" si="2"/>
        <v>304</v>
      </c>
      <c r="F33" s="151"/>
      <c r="G33" s="151"/>
      <c r="H33" s="151">
        <f>+I32</f>
        <v>802</v>
      </c>
      <c r="I33" s="151">
        <f>TRUNC(D33/100*H33)</f>
        <v>304</v>
      </c>
      <c r="J33" s="151"/>
      <c r="K33" s="151"/>
      <c r="L33" s="148"/>
    </row>
    <row r="34" spans="1:12" s="210" customFormat="1" ht="17.25" customHeight="1">
      <c r="A34" s="149" t="s">
        <v>312</v>
      </c>
      <c r="B34" s="148" t="s">
        <v>313</v>
      </c>
      <c r="C34" s="148" t="s">
        <v>213</v>
      </c>
      <c r="D34" s="150">
        <v>0.2</v>
      </c>
      <c r="E34" s="151">
        <f>(G34+I34+K34)</f>
        <v>470</v>
      </c>
      <c r="F34" s="151"/>
      <c r="G34" s="151"/>
      <c r="H34" s="151"/>
      <c r="I34" s="151"/>
      <c r="J34" s="151">
        <v>2350</v>
      </c>
      <c r="K34" s="151">
        <f>TRUNC(D34*J34)</f>
        <v>470</v>
      </c>
      <c r="L34" s="148"/>
    </row>
    <row r="35" spans="1:12" s="210" customFormat="1" ht="17.25" customHeight="1">
      <c r="A35" s="149" t="s">
        <v>99</v>
      </c>
      <c r="B35" s="148" t="s">
        <v>100</v>
      </c>
      <c r="C35" s="148" t="s">
        <v>213</v>
      </c>
      <c r="D35" s="150">
        <v>0.2</v>
      </c>
      <c r="E35" s="151">
        <f>(G35+I35+K35)</f>
        <v>91</v>
      </c>
      <c r="F35" s="151"/>
      <c r="G35" s="151"/>
      <c r="H35" s="151"/>
      <c r="I35" s="151"/>
      <c r="J35" s="151">
        <v>458</v>
      </c>
      <c r="K35" s="151">
        <f>TRUNC(D35*J35)</f>
        <v>91</v>
      </c>
      <c r="L35" s="148"/>
    </row>
    <row r="36" spans="1:12" s="210" customFormat="1" ht="17.25" customHeight="1">
      <c r="A36" s="149" t="s">
        <v>84</v>
      </c>
      <c r="B36" s="148"/>
      <c r="C36" s="148" t="s">
        <v>213</v>
      </c>
      <c r="D36" s="150">
        <v>0.2</v>
      </c>
      <c r="E36" s="151">
        <f>(G36+I36+K36)</f>
        <v>1457</v>
      </c>
      <c r="F36" s="151"/>
      <c r="G36" s="151"/>
      <c r="H36" s="151"/>
      <c r="I36" s="151"/>
      <c r="J36" s="151">
        <v>7288</v>
      </c>
      <c r="K36" s="151">
        <f>TRUNC(D36*J36)</f>
        <v>1457</v>
      </c>
      <c r="L36" s="148"/>
    </row>
    <row r="37" spans="1:12" s="210" customFormat="1" ht="17.25" customHeight="1">
      <c r="A37" s="149" t="s">
        <v>207</v>
      </c>
      <c r="B37" s="148"/>
      <c r="C37" s="148"/>
      <c r="D37" s="150"/>
      <c r="E37" s="151">
        <f>SUM(E28:E36)</f>
        <v>201586</v>
      </c>
      <c r="F37" s="151"/>
      <c r="G37" s="151">
        <f>SUM(G28:G36)</f>
        <v>138765</v>
      </c>
      <c r="H37" s="151"/>
      <c r="I37" s="151">
        <f>SUM(I28:I36)</f>
        <v>2706</v>
      </c>
      <c r="J37" s="151"/>
      <c r="K37" s="151">
        <f>SUM(K28:K36)</f>
        <v>60115</v>
      </c>
      <c r="L37" s="148"/>
    </row>
    <row r="38" spans="1:12" s="210" customFormat="1" ht="17.25" customHeight="1">
      <c r="A38" s="154"/>
      <c r="B38" s="155"/>
      <c r="C38" s="156"/>
      <c r="D38" s="158"/>
      <c r="E38" s="157"/>
      <c r="F38" s="157"/>
      <c r="G38" s="157"/>
      <c r="H38" s="157"/>
      <c r="I38" s="157"/>
      <c r="J38" s="157"/>
      <c r="K38" s="157"/>
      <c r="L38" s="148"/>
    </row>
    <row r="39" spans="1:12" s="210" customFormat="1" ht="17.25" customHeight="1">
      <c r="A39" s="205" t="s">
        <v>214</v>
      </c>
      <c r="B39" s="206"/>
      <c r="C39" s="148"/>
      <c r="D39" s="148"/>
      <c r="E39" s="207"/>
      <c r="F39" s="208"/>
      <c r="G39" s="207" t="s">
        <v>202</v>
      </c>
      <c r="H39" s="208"/>
      <c r="I39" s="207"/>
      <c r="J39" s="208"/>
      <c r="K39" s="207"/>
      <c r="L39" s="209"/>
    </row>
    <row r="40" spans="1:12" s="210" customFormat="1" ht="17.25" customHeight="1">
      <c r="A40" s="149" t="s">
        <v>70</v>
      </c>
      <c r="B40" s="148"/>
      <c r="C40" s="148" t="s">
        <v>73</v>
      </c>
      <c r="D40" s="150">
        <v>0.2</v>
      </c>
      <c r="E40" s="151">
        <f t="shared" ref="E40:E47" si="3">(G40+I40+K40)</f>
        <v>48411</v>
      </c>
      <c r="F40" s="151">
        <v>242055</v>
      </c>
      <c r="G40" s="151">
        <f>TRUNC(D40*F40)</f>
        <v>48411</v>
      </c>
      <c r="H40" s="151"/>
      <c r="I40" s="151"/>
      <c r="J40" s="151"/>
      <c r="K40" s="151"/>
      <c r="L40" s="148"/>
    </row>
    <row r="41" spans="1:12" s="210" customFormat="1" ht="17.25" customHeight="1">
      <c r="A41" s="149" t="s">
        <v>71</v>
      </c>
      <c r="B41" s="148" t="s">
        <v>202</v>
      </c>
      <c r="C41" s="148" t="s">
        <v>74</v>
      </c>
      <c r="D41" s="150">
        <v>0.2</v>
      </c>
      <c r="E41" s="151">
        <f t="shared" si="3"/>
        <v>44099</v>
      </c>
      <c r="F41" s="151">
        <v>220497</v>
      </c>
      <c r="G41" s="151">
        <f>TRUNC(D41*F41)</f>
        <v>44099</v>
      </c>
      <c r="H41" s="151"/>
      <c r="I41" s="151"/>
      <c r="J41" s="151"/>
      <c r="K41" s="151"/>
      <c r="L41" s="148"/>
    </row>
    <row r="42" spans="1:12" s="210" customFormat="1" ht="17.25" customHeight="1">
      <c r="A42" s="149" t="s">
        <v>93</v>
      </c>
      <c r="B42" s="148"/>
      <c r="C42" s="148" t="s">
        <v>74</v>
      </c>
      <c r="D42" s="150">
        <v>0.2</v>
      </c>
      <c r="E42" s="151">
        <f t="shared" si="3"/>
        <v>38731</v>
      </c>
      <c r="F42" s="151"/>
      <c r="G42" s="151"/>
      <c r="H42" s="151"/>
      <c r="I42" s="151"/>
      <c r="J42" s="151">
        <v>193659</v>
      </c>
      <c r="K42" s="151">
        <f>TRUNC(D42*J42)</f>
        <v>38731</v>
      </c>
      <c r="L42" s="148"/>
    </row>
    <row r="43" spans="1:12" s="210" customFormat="1" ht="17.25" customHeight="1">
      <c r="A43" s="149" t="s">
        <v>95</v>
      </c>
      <c r="B43" s="148"/>
      <c r="C43" s="148" t="s">
        <v>77</v>
      </c>
      <c r="D43" s="150">
        <v>0.6</v>
      </c>
      <c r="E43" s="151">
        <f t="shared" si="3"/>
        <v>802</v>
      </c>
      <c r="F43" s="151"/>
      <c r="G43" s="151"/>
      <c r="H43" s="151">
        <v>1337</v>
      </c>
      <c r="I43" s="151">
        <f>TRUNC(D43*H43)</f>
        <v>802</v>
      </c>
      <c r="J43" s="151"/>
      <c r="K43" s="151"/>
      <c r="L43" s="148"/>
    </row>
    <row r="44" spans="1:12" s="210" customFormat="1" ht="17.25" customHeight="1">
      <c r="A44" s="149" t="s">
        <v>79</v>
      </c>
      <c r="B44" s="148" t="s">
        <v>80</v>
      </c>
      <c r="C44" s="148" t="s">
        <v>81</v>
      </c>
      <c r="D44" s="150">
        <v>38</v>
      </c>
      <c r="E44" s="151">
        <f t="shared" si="3"/>
        <v>304</v>
      </c>
      <c r="F44" s="151"/>
      <c r="G44" s="151"/>
      <c r="H44" s="151">
        <f>+I43</f>
        <v>802</v>
      </c>
      <c r="I44" s="151">
        <f>TRUNC(D44/100*H44)</f>
        <v>304</v>
      </c>
      <c r="J44" s="151"/>
      <c r="K44" s="151"/>
      <c r="L44" s="148"/>
    </row>
    <row r="45" spans="1:12" s="210" customFormat="1" ht="17.25" customHeight="1">
      <c r="A45" s="149" t="s">
        <v>99</v>
      </c>
      <c r="B45" s="148" t="s">
        <v>100</v>
      </c>
      <c r="C45" s="148" t="s">
        <v>213</v>
      </c>
      <c r="D45" s="150">
        <v>0.2</v>
      </c>
      <c r="E45" s="151">
        <f t="shared" si="3"/>
        <v>91</v>
      </c>
      <c r="F45" s="151"/>
      <c r="G45" s="151"/>
      <c r="H45" s="151"/>
      <c r="I45" s="151"/>
      <c r="J45" s="151">
        <v>458</v>
      </c>
      <c r="K45" s="151">
        <f>TRUNC(D45*J45)</f>
        <v>91</v>
      </c>
      <c r="L45" s="148"/>
    </row>
    <row r="46" spans="1:12" s="210" customFormat="1" ht="17.25" customHeight="1">
      <c r="A46" s="149" t="s">
        <v>215</v>
      </c>
      <c r="B46" s="148"/>
      <c r="C46" s="148" t="s">
        <v>213</v>
      </c>
      <c r="D46" s="150">
        <v>0.2</v>
      </c>
      <c r="E46" s="151">
        <f t="shared" si="3"/>
        <v>212</v>
      </c>
      <c r="F46" s="151"/>
      <c r="G46" s="151"/>
      <c r="H46" s="151"/>
      <c r="I46" s="151"/>
      <c r="J46" s="151">
        <v>1062</v>
      </c>
      <c r="K46" s="151">
        <f>TRUNC(D46*J46)</f>
        <v>212</v>
      </c>
      <c r="L46" s="148"/>
    </row>
    <row r="47" spans="1:12" s="210" customFormat="1" ht="17.25" customHeight="1">
      <c r="A47" s="149" t="s">
        <v>84</v>
      </c>
      <c r="B47" s="148"/>
      <c r="C47" s="148" t="s">
        <v>213</v>
      </c>
      <c r="D47" s="150">
        <v>0.2</v>
      </c>
      <c r="E47" s="151">
        <f t="shared" si="3"/>
        <v>1457</v>
      </c>
      <c r="F47" s="151"/>
      <c r="G47" s="151"/>
      <c r="H47" s="151"/>
      <c r="I47" s="151"/>
      <c r="J47" s="151">
        <v>7288</v>
      </c>
      <c r="K47" s="151">
        <f>TRUNC(D47*J47)</f>
        <v>1457</v>
      </c>
      <c r="L47" s="148"/>
    </row>
    <row r="48" spans="1:12" s="210" customFormat="1" ht="17.25" customHeight="1">
      <c r="A48" s="149" t="s">
        <v>207</v>
      </c>
      <c r="B48" s="148"/>
      <c r="C48" s="148"/>
      <c r="D48" s="150"/>
      <c r="E48" s="151">
        <f>SUM(E40:E47)</f>
        <v>134107</v>
      </c>
      <c r="F48" s="151"/>
      <c r="G48" s="151">
        <f>SUM(G40:G47)</f>
        <v>92510</v>
      </c>
      <c r="H48" s="151"/>
      <c r="I48" s="151">
        <f>SUM(I40:I47)</f>
        <v>1106</v>
      </c>
      <c r="J48" s="151"/>
      <c r="K48" s="151">
        <f>SUM(K40:K47)</f>
        <v>40491</v>
      </c>
      <c r="L48" s="148"/>
    </row>
    <row r="49" spans="1:12" s="210" customFormat="1" ht="17.25" customHeight="1">
      <c r="A49" s="149"/>
      <c r="B49" s="148"/>
      <c r="C49" s="148"/>
      <c r="D49" s="150"/>
      <c r="E49" s="151"/>
      <c r="F49" s="151"/>
      <c r="G49" s="151"/>
      <c r="H49" s="151"/>
      <c r="I49" s="151"/>
      <c r="J49" s="151"/>
      <c r="K49" s="151"/>
      <c r="L49" s="148"/>
    </row>
    <row r="51" spans="1:12">
      <c r="A51" s="279" t="s">
        <v>424</v>
      </c>
      <c r="B51" s="280"/>
      <c r="C51" s="281"/>
      <c r="D51" s="281"/>
      <c r="E51" s="282"/>
      <c r="F51" s="283"/>
      <c r="G51" s="282" t="s">
        <v>202</v>
      </c>
      <c r="H51" s="283"/>
      <c r="I51" s="282" t="s">
        <v>202</v>
      </c>
      <c r="J51" s="283"/>
      <c r="K51" s="282"/>
      <c r="L51" s="284"/>
    </row>
    <row r="52" spans="1:12">
      <c r="A52" s="285" t="s">
        <v>70</v>
      </c>
      <c r="B52" s="281"/>
      <c r="C52" s="281" t="s">
        <v>73</v>
      </c>
      <c r="D52" s="286">
        <v>3</v>
      </c>
      <c r="E52" s="287">
        <f t="shared" ref="E52:E57" si="4">(G52+I52+K52)</f>
        <v>726165</v>
      </c>
      <c r="F52" s="287">
        <v>242055</v>
      </c>
      <c r="G52" s="287">
        <f>TRUNC(D52*F52)</f>
        <v>726165</v>
      </c>
      <c r="H52" s="287"/>
      <c r="I52" s="287"/>
      <c r="J52" s="287"/>
      <c r="K52" s="287"/>
      <c r="L52" s="281"/>
    </row>
    <row r="53" spans="1:12">
      <c r="A53" s="285" t="s">
        <v>71</v>
      </c>
      <c r="B53" s="281" t="s">
        <v>202</v>
      </c>
      <c r="C53" s="281" t="s">
        <v>74</v>
      </c>
      <c r="D53" s="286">
        <v>2</v>
      </c>
      <c r="E53" s="287">
        <f t="shared" si="4"/>
        <v>440994</v>
      </c>
      <c r="F53" s="287">
        <v>220497</v>
      </c>
      <c r="G53" s="287">
        <f>TRUNC(D53*F53)</f>
        <v>440994</v>
      </c>
      <c r="H53" s="287"/>
      <c r="I53" s="287"/>
      <c r="J53" s="287"/>
      <c r="K53" s="287"/>
      <c r="L53" s="281"/>
    </row>
    <row r="54" spans="1:12">
      <c r="A54" s="285" t="s">
        <v>75</v>
      </c>
      <c r="B54" s="281" t="s">
        <v>202</v>
      </c>
      <c r="C54" s="281" t="s">
        <v>74</v>
      </c>
      <c r="D54" s="286">
        <v>3</v>
      </c>
      <c r="E54" s="287">
        <f t="shared" si="4"/>
        <v>517587</v>
      </c>
      <c r="F54" s="287">
        <v>172529</v>
      </c>
      <c r="G54" s="287">
        <f>TRUNC(D54*F54)</f>
        <v>517587</v>
      </c>
      <c r="H54" s="287"/>
      <c r="I54" s="287"/>
      <c r="J54" s="287"/>
      <c r="K54" s="287"/>
      <c r="L54" s="281"/>
    </row>
    <row r="55" spans="1:12">
      <c r="A55" s="285" t="s">
        <v>425</v>
      </c>
      <c r="B55" s="281"/>
      <c r="C55" s="281" t="s">
        <v>213</v>
      </c>
      <c r="D55" s="288">
        <v>16</v>
      </c>
      <c r="E55" s="287">
        <f t="shared" si="4"/>
        <v>665712</v>
      </c>
      <c r="F55" s="287"/>
      <c r="G55" s="287"/>
      <c r="H55" s="289"/>
      <c r="I55" s="287"/>
      <c r="J55" s="287">
        <f>기계경비1!G6</f>
        <v>41607</v>
      </c>
      <c r="K55" s="287">
        <f>TRUNC(D55*J55)</f>
        <v>665712</v>
      </c>
      <c r="L55" s="281"/>
    </row>
    <row r="56" spans="1:12">
      <c r="A56" s="285" t="s">
        <v>87</v>
      </c>
      <c r="B56" s="281"/>
      <c r="C56" s="281" t="s">
        <v>213</v>
      </c>
      <c r="D56" s="288">
        <v>16</v>
      </c>
      <c r="E56" s="287">
        <f t="shared" si="4"/>
        <v>30688</v>
      </c>
      <c r="F56" s="287"/>
      <c r="G56" s="287"/>
      <c r="H56" s="287"/>
      <c r="I56" s="287"/>
      <c r="J56" s="287">
        <f>기계경비1!G7</f>
        <v>1918</v>
      </c>
      <c r="K56" s="287">
        <f>TRUNC(D56*J56)</f>
        <v>30688</v>
      </c>
      <c r="L56" s="281"/>
    </row>
    <row r="57" spans="1:12">
      <c r="A57" s="285" t="s">
        <v>207</v>
      </c>
      <c r="B57" s="281"/>
      <c r="C57" s="281"/>
      <c r="D57" s="288"/>
      <c r="E57" s="287">
        <f t="shared" si="4"/>
        <v>2381146</v>
      </c>
      <c r="F57" s="287"/>
      <c r="G57" s="287">
        <f>SUM(G52:G56)</f>
        <v>1684746</v>
      </c>
      <c r="H57" s="287"/>
      <c r="I57" s="287"/>
      <c r="J57" s="287"/>
      <c r="K57" s="287">
        <f>SUM(K52:K56)</f>
        <v>696400</v>
      </c>
      <c r="L57" s="281"/>
    </row>
  </sheetData>
  <mergeCells count="8">
    <mergeCell ref="A1:H1"/>
    <mergeCell ref="A2:L2"/>
    <mergeCell ref="A4:A5"/>
    <mergeCell ref="B4:B5"/>
    <mergeCell ref="C4:C5"/>
    <mergeCell ref="D4:D5"/>
    <mergeCell ref="E4:E5"/>
    <mergeCell ref="L4:L5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&amp;C지반조사품셈 -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view="pageBreakPreview" zoomScaleNormal="100" zoomScaleSheetLayoutView="100" workbookViewId="0">
      <selection activeCell="C6" sqref="C6"/>
    </sheetView>
  </sheetViews>
  <sheetFormatPr defaultRowHeight="30" customHeight="1"/>
  <cols>
    <col min="1" max="1" width="5.875" customWidth="1"/>
    <col min="2" max="2" width="22.375" customWidth="1"/>
    <col min="3" max="3" width="18.5" bestFit="1" customWidth="1"/>
    <col min="4" max="7" width="14.25" customWidth="1"/>
    <col min="8" max="8" width="15.375" customWidth="1"/>
  </cols>
  <sheetData>
    <row r="1" spans="1:8" ht="30" customHeight="1">
      <c r="A1" s="488" t="str">
        <f>총괄표지!B3</f>
        <v>2026년 국도 침하 취약구간 GPR탐사 및 통합관리시스템 구축 용역</v>
      </c>
      <c r="B1" s="488"/>
      <c r="C1" s="488"/>
      <c r="D1" s="488"/>
      <c r="E1" s="488"/>
      <c r="F1" s="488"/>
      <c r="G1" s="488"/>
      <c r="H1" s="488"/>
    </row>
    <row r="2" spans="1:8" ht="30" customHeight="1">
      <c r="A2" s="505" t="s">
        <v>216</v>
      </c>
      <c r="B2" s="505"/>
      <c r="C2" s="505"/>
      <c r="D2" s="505"/>
      <c r="E2" s="505"/>
      <c r="F2" s="505"/>
      <c r="G2" s="505"/>
      <c r="H2" s="505"/>
    </row>
    <row r="3" spans="1:8" ht="30" customHeight="1">
      <c r="A3" s="25"/>
      <c r="B3" s="25"/>
      <c r="C3" s="25"/>
      <c r="D3" s="25"/>
      <c r="E3" s="25"/>
      <c r="F3" s="25"/>
      <c r="G3" s="25"/>
      <c r="H3" s="25"/>
    </row>
    <row r="4" spans="1:8" ht="30" customHeight="1" thickBot="1">
      <c r="A4" s="25"/>
      <c r="B4" s="185" t="s">
        <v>217</v>
      </c>
      <c r="C4" s="186" t="s">
        <v>218</v>
      </c>
      <c r="D4" s="186" t="s">
        <v>219</v>
      </c>
      <c r="E4" s="186" t="s">
        <v>220</v>
      </c>
      <c r="F4" s="186" t="s">
        <v>221</v>
      </c>
      <c r="G4" s="186" t="s">
        <v>222</v>
      </c>
      <c r="H4" s="187" t="s">
        <v>223</v>
      </c>
    </row>
    <row r="5" spans="1:8" ht="30" customHeight="1" thickTop="1">
      <c r="A5" s="25"/>
      <c r="B5" s="193" t="s">
        <v>306</v>
      </c>
      <c r="C5" s="26" t="s">
        <v>224</v>
      </c>
      <c r="D5" s="320">
        <v>10</v>
      </c>
      <c r="E5" s="320">
        <v>300</v>
      </c>
      <c r="F5" s="29">
        <v>65</v>
      </c>
      <c r="G5" s="29">
        <v>10000</v>
      </c>
      <c r="H5" s="30">
        <f>(E5*F5*D5)+G5</f>
        <v>205000</v>
      </c>
    </row>
    <row r="6" spans="1:8" ht="30" customHeight="1">
      <c r="A6" s="25"/>
      <c r="B6" s="193" t="s">
        <v>307</v>
      </c>
      <c r="C6" s="26" t="s">
        <v>224</v>
      </c>
      <c r="D6" s="320">
        <v>10</v>
      </c>
      <c r="E6" s="320">
        <v>50</v>
      </c>
      <c r="F6" s="29">
        <v>65</v>
      </c>
      <c r="G6" s="29">
        <v>10000</v>
      </c>
      <c r="H6" s="30">
        <f>(E6*F6*D6)+G6</f>
        <v>42500</v>
      </c>
    </row>
    <row r="7" spans="1:8" ht="30" customHeight="1">
      <c r="A7" s="25"/>
      <c r="B7" s="506" t="s">
        <v>89</v>
      </c>
      <c r="C7" s="48" t="s">
        <v>90</v>
      </c>
      <c r="D7" s="29">
        <v>3</v>
      </c>
      <c r="E7" s="29"/>
      <c r="F7" s="29">
        <v>89000</v>
      </c>
      <c r="G7" s="29"/>
      <c r="H7" s="30">
        <f>D7*F7</f>
        <v>267000</v>
      </c>
    </row>
    <row r="8" spans="1:8" ht="30" customHeight="1">
      <c r="A8" s="25"/>
      <c r="B8" s="506"/>
      <c r="C8" s="48" t="s">
        <v>92</v>
      </c>
      <c r="D8" s="29">
        <v>3</v>
      </c>
      <c r="E8" s="29"/>
      <c r="F8" s="29">
        <v>2000</v>
      </c>
      <c r="G8" s="29"/>
      <c r="H8" s="30">
        <f>D8*F8</f>
        <v>6000</v>
      </c>
    </row>
    <row r="9" spans="1:8" ht="30" customHeight="1">
      <c r="A9" s="25"/>
      <c r="B9" s="27" t="s">
        <v>225</v>
      </c>
      <c r="C9" s="28"/>
      <c r="D9" s="31"/>
      <c r="E9" s="31"/>
      <c r="F9" s="31"/>
      <c r="G9" s="31"/>
      <c r="H9" s="32">
        <f>SUM(H5:H8)</f>
        <v>520500</v>
      </c>
    </row>
  </sheetData>
  <mergeCells count="3">
    <mergeCell ref="A2:H2"/>
    <mergeCell ref="B7:B8"/>
    <mergeCell ref="A1:H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view="pageBreakPreview" zoomScaleNormal="100" zoomScaleSheetLayoutView="100" workbookViewId="0">
      <pane ySplit="3" topLeftCell="A4" activePane="bottomLeft" state="frozen"/>
      <selection activeCell="C6" sqref="C6"/>
      <selection pane="bottomLeft" activeCell="C6" sqref="C6"/>
    </sheetView>
  </sheetViews>
  <sheetFormatPr defaultRowHeight="16.5"/>
  <cols>
    <col min="2" max="2" width="12.25" bestFit="1" customWidth="1"/>
    <col min="7" max="7" width="10.875" customWidth="1"/>
  </cols>
  <sheetData>
    <row r="1" spans="1:7" ht="16.5" customHeight="1">
      <c r="A1" s="507" t="s">
        <v>226</v>
      </c>
      <c r="B1" s="507"/>
      <c r="C1" s="507"/>
      <c r="D1" s="507"/>
      <c r="E1" s="507"/>
      <c r="F1" s="507"/>
      <c r="G1" s="507"/>
    </row>
    <row r="2" spans="1:7" ht="16.5" customHeight="1">
      <c r="A2" s="508"/>
      <c r="B2" s="508"/>
      <c r="C2" s="508"/>
      <c r="D2" s="508"/>
      <c r="E2" s="508"/>
      <c r="F2" s="508"/>
      <c r="G2" s="508"/>
    </row>
    <row r="3" spans="1:7" ht="27.75" customHeight="1">
      <c r="A3" s="21" t="s">
        <v>227</v>
      </c>
      <c r="B3" s="22" t="s">
        <v>228</v>
      </c>
      <c r="C3" s="22" t="s">
        <v>229</v>
      </c>
      <c r="D3" s="22" t="s">
        <v>42</v>
      </c>
      <c r="E3" s="22" t="s">
        <v>161</v>
      </c>
      <c r="F3" s="23" t="s">
        <v>230</v>
      </c>
      <c r="G3" s="23" t="s">
        <v>231</v>
      </c>
    </row>
    <row r="4" spans="1:7" ht="27.75" customHeight="1">
      <c r="A4" s="260" t="s">
        <v>232</v>
      </c>
      <c r="B4" s="261" t="s">
        <v>233</v>
      </c>
      <c r="C4" s="261" t="s">
        <v>44</v>
      </c>
      <c r="D4" s="262" t="s">
        <v>74</v>
      </c>
      <c r="E4" s="263">
        <v>226122</v>
      </c>
      <c r="F4" s="264">
        <v>46023</v>
      </c>
      <c r="G4" s="265" t="s">
        <v>478</v>
      </c>
    </row>
    <row r="5" spans="1:7" ht="27.75" customHeight="1">
      <c r="A5" s="260" t="s">
        <v>234</v>
      </c>
      <c r="B5" s="261" t="s">
        <v>110</v>
      </c>
      <c r="C5" s="261" t="s">
        <v>44</v>
      </c>
      <c r="D5" s="262" t="s">
        <v>74</v>
      </c>
      <c r="E5" s="266">
        <v>172068</v>
      </c>
      <c r="F5" s="264">
        <v>46023</v>
      </c>
      <c r="G5" s="265" t="s">
        <v>478</v>
      </c>
    </row>
    <row r="6" spans="1:7" ht="27.75" customHeight="1">
      <c r="A6" s="260">
        <v>3</v>
      </c>
      <c r="B6" s="261" t="s">
        <v>129</v>
      </c>
      <c r="C6" s="261"/>
      <c r="D6" s="262" t="s">
        <v>68</v>
      </c>
      <c r="E6" s="267">
        <v>232562</v>
      </c>
      <c r="F6" s="264">
        <v>46023</v>
      </c>
      <c r="G6" s="265" t="s">
        <v>478</v>
      </c>
    </row>
    <row r="7" spans="1:7" ht="27.75" customHeight="1">
      <c r="A7" s="314">
        <v>4</v>
      </c>
      <c r="B7" s="315" t="s">
        <v>383</v>
      </c>
      <c r="C7" s="315"/>
      <c r="D7" s="316" t="s">
        <v>68</v>
      </c>
      <c r="E7" s="317">
        <v>238936</v>
      </c>
      <c r="F7" s="352">
        <v>46023</v>
      </c>
      <c r="G7" s="353" t="s">
        <v>478</v>
      </c>
    </row>
  </sheetData>
  <mergeCells count="1">
    <mergeCell ref="A1:G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15" zoomScaleNormal="100" zoomScaleSheetLayoutView="115" workbookViewId="0">
      <selection activeCell="C6" sqref="C6"/>
    </sheetView>
  </sheetViews>
  <sheetFormatPr defaultRowHeight="16.5"/>
  <cols>
    <col min="1" max="1" width="2.875" customWidth="1"/>
    <col min="7" max="7" width="13.375" customWidth="1"/>
    <col min="10" max="10" width="13.375" customWidth="1"/>
    <col min="11" max="12" width="18.25" customWidth="1"/>
  </cols>
  <sheetData>
    <row r="1" spans="1:12" ht="22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2.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2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2.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2.5" customHeight="1">
      <c r="A5" s="14"/>
      <c r="B5" s="14"/>
      <c r="C5" s="14"/>
      <c r="D5" s="14"/>
      <c r="E5" s="14"/>
      <c r="F5" s="14"/>
      <c r="G5" s="14"/>
      <c r="H5" s="14"/>
      <c r="I5" s="14"/>
      <c r="J5" s="41" t="s">
        <v>235</v>
      </c>
      <c r="K5" s="42" t="s">
        <v>236</v>
      </c>
      <c r="L5" s="14"/>
    </row>
    <row r="6" spans="1:12" ht="22.5" customHeight="1">
      <c r="A6" s="14"/>
      <c r="B6" s="14"/>
      <c r="C6" s="14"/>
      <c r="D6" s="14"/>
      <c r="E6" s="14"/>
      <c r="F6" s="14"/>
      <c r="G6" s="14"/>
      <c r="H6" s="14"/>
      <c r="I6" s="14"/>
      <c r="J6" s="43" t="s">
        <v>203</v>
      </c>
      <c r="K6" s="204">
        <v>467217</v>
      </c>
      <c r="L6" s="14"/>
    </row>
    <row r="7" spans="1:12" ht="22.5" customHeight="1">
      <c r="A7" s="14"/>
      <c r="B7" s="14"/>
      <c r="C7" s="14"/>
      <c r="D7" s="14"/>
      <c r="E7" s="14"/>
      <c r="F7" s="14"/>
      <c r="G7" s="14"/>
      <c r="H7" s="14"/>
      <c r="I7" s="14"/>
      <c r="J7" s="43" t="s">
        <v>204</v>
      </c>
      <c r="K7" s="44">
        <v>373353</v>
      </c>
      <c r="L7" s="14"/>
    </row>
    <row r="8" spans="1:12" ht="22.5" customHeight="1">
      <c r="A8" s="14"/>
      <c r="B8" s="14"/>
      <c r="C8" s="14"/>
      <c r="D8" s="14"/>
      <c r="E8" s="14"/>
      <c r="F8" s="14"/>
      <c r="G8" s="14"/>
      <c r="H8" s="14"/>
      <c r="I8" s="14"/>
      <c r="J8" s="43" t="s">
        <v>205</v>
      </c>
      <c r="K8" s="44">
        <v>310884</v>
      </c>
      <c r="L8" s="14"/>
    </row>
    <row r="9" spans="1:12" ht="22.5" customHeight="1">
      <c r="A9" s="14"/>
      <c r="B9" s="14"/>
      <c r="C9" s="14"/>
      <c r="D9" s="14"/>
      <c r="E9" s="14"/>
      <c r="F9" s="14"/>
      <c r="G9" s="14"/>
      <c r="H9" s="14"/>
      <c r="I9" s="14"/>
      <c r="J9" s="43" t="s">
        <v>206</v>
      </c>
      <c r="K9" s="44">
        <v>295138</v>
      </c>
      <c r="L9" s="14"/>
    </row>
    <row r="10" spans="1:12" ht="22.5" customHeight="1">
      <c r="A10" s="14"/>
      <c r="B10" s="14"/>
      <c r="C10" s="14"/>
      <c r="D10" s="14"/>
      <c r="E10" s="14"/>
      <c r="F10" s="14"/>
      <c r="G10" s="14"/>
      <c r="H10" s="14"/>
      <c r="I10" s="14"/>
      <c r="J10" s="43" t="s">
        <v>208</v>
      </c>
      <c r="K10" s="44">
        <v>235459</v>
      </c>
      <c r="L10" s="14"/>
    </row>
    <row r="11" spans="1:12" ht="22.5" customHeight="1">
      <c r="A11" s="14"/>
      <c r="B11" s="14"/>
      <c r="C11" s="14"/>
      <c r="D11" s="14"/>
      <c r="E11" s="14"/>
      <c r="F11" s="14"/>
      <c r="G11" s="14"/>
      <c r="H11" s="14"/>
      <c r="I11" s="14"/>
      <c r="J11" s="43" t="s">
        <v>209</v>
      </c>
      <c r="K11" s="204">
        <v>281075</v>
      </c>
      <c r="L11" s="14"/>
    </row>
    <row r="12" spans="1:12" ht="22.5" customHeight="1">
      <c r="A12" s="14"/>
      <c r="B12" s="14"/>
      <c r="C12" s="14"/>
      <c r="D12" s="14"/>
      <c r="E12" s="14"/>
      <c r="F12" s="14"/>
      <c r="G12" s="14"/>
      <c r="H12" s="14"/>
      <c r="I12" s="14"/>
      <c r="J12" s="43" t="s">
        <v>210</v>
      </c>
      <c r="K12" s="204">
        <v>250087</v>
      </c>
      <c r="L12" s="14"/>
    </row>
    <row r="13" spans="1:12" ht="22.5" customHeight="1">
      <c r="A13" s="14"/>
      <c r="B13" s="14"/>
      <c r="C13" s="14"/>
      <c r="D13" s="14"/>
      <c r="E13" s="14"/>
      <c r="F13" s="14"/>
      <c r="G13" s="14"/>
      <c r="H13" s="14"/>
      <c r="I13" s="14"/>
      <c r="J13" s="43" t="s">
        <v>211</v>
      </c>
      <c r="K13" s="204">
        <v>218142</v>
      </c>
      <c r="L13" s="14"/>
    </row>
    <row r="14" spans="1:12" ht="22.5" customHeight="1">
      <c r="A14" s="14"/>
      <c r="B14" s="14"/>
      <c r="C14" s="14"/>
      <c r="D14" s="14"/>
      <c r="E14" s="14"/>
      <c r="F14" s="14"/>
      <c r="G14" s="14"/>
      <c r="H14" s="14"/>
      <c r="I14" s="14"/>
      <c r="L14" s="14"/>
    </row>
    <row r="15" spans="1:12" ht="22.5" customHeight="1"/>
    <row r="16" spans="1:12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  <row r="23" ht="22.5" customHeight="1"/>
    <row r="24" ht="22.5" customHeight="1"/>
    <row r="25" ht="22.5" customHeight="1"/>
    <row r="26" ht="22.5" customHeight="1"/>
    <row r="27" ht="22.5" customHeight="1"/>
    <row r="28" ht="22.5" customHeight="1"/>
    <row r="29" ht="22.5" customHeight="1"/>
    <row r="30" ht="22.5" customHeight="1"/>
    <row r="31" ht="22.5" customHeight="1"/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28"/>
  <sheetViews>
    <sheetView view="pageBreakPreview" zoomScaleNormal="100" zoomScaleSheetLayoutView="100" workbookViewId="0">
      <selection activeCell="C6" sqref="C6"/>
    </sheetView>
  </sheetViews>
  <sheetFormatPr defaultRowHeight="16.5"/>
  <cols>
    <col min="2" max="2" width="13.375" customWidth="1"/>
    <col min="3" max="3" width="12.125" bestFit="1" customWidth="1"/>
    <col min="6" max="6" width="11.625" bestFit="1" customWidth="1"/>
    <col min="8" max="8" width="7.75" customWidth="1"/>
    <col min="15" max="15" width="13.25" customWidth="1"/>
  </cols>
  <sheetData>
    <row r="1" spans="1:7" ht="26.25">
      <c r="A1" s="509" t="s">
        <v>237</v>
      </c>
      <c r="B1" s="509"/>
      <c r="C1" s="509"/>
      <c r="D1" s="509"/>
      <c r="E1" s="509"/>
      <c r="F1" s="509"/>
      <c r="G1" s="509"/>
    </row>
    <row r="2" spans="1:7">
      <c r="A2" s="49"/>
      <c r="B2" s="49"/>
      <c r="C2" s="49"/>
      <c r="D2" s="49"/>
      <c r="E2" s="49"/>
      <c r="F2" s="49"/>
      <c r="G2" s="49"/>
    </row>
    <row r="3" spans="1:7">
      <c r="A3" s="50" t="s">
        <v>238</v>
      </c>
      <c r="B3" s="49"/>
      <c r="C3" s="49"/>
      <c r="D3" s="49"/>
      <c r="E3" s="49"/>
      <c r="F3" s="49"/>
      <c r="G3" s="49"/>
    </row>
    <row r="4" spans="1:7">
      <c r="A4" s="49"/>
      <c r="B4" s="51" t="s">
        <v>239</v>
      </c>
      <c r="C4" s="49"/>
      <c r="D4" s="49"/>
      <c r="E4" s="49"/>
      <c r="F4" s="49"/>
      <c r="G4" s="49"/>
    </row>
    <row r="5" spans="1:7">
      <c r="A5" s="49"/>
      <c r="B5" s="51" t="s">
        <v>240</v>
      </c>
      <c r="C5" s="49"/>
      <c r="D5" s="49"/>
      <c r="E5" s="49"/>
      <c r="F5" s="49"/>
      <c r="G5" s="49"/>
    </row>
    <row r="6" spans="1:7">
      <c r="A6" s="49"/>
      <c r="B6" s="51" t="s">
        <v>241</v>
      </c>
      <c r="C6" s="49"/>
      <c r="D6" s="49"/>
      <c r="E6" s="49"/>
      <c r="F6" s="49"/>
      <c r="G6" s="49"/>
    </row>
    <row r="7" spans="1:7">
      <c r="A7" s="49"/>
      <c r="B7" s="51"/>
      <c r="C7" s="49"/>
      <c r="D7" s="49"/>
      <c r="E7" s="49"/>
      <c r="F7" s="49"/>
      <c r="G7" s="49"/>
    </row>
    <row r="8" spans="1:7">
      <c r="A8" s="49" t="s">
        <v>242</v>
      </c>
      <c r="B8" s="49"/>
      <c r="C8" s="49"/>
      <c r="D8" s="49"/>
      <c r="E8" s="49"/>
      <c r="F8" s="49"/>
      <c r="G8" s="49"/>
    </row>
    <row r="9" spans="1:7">
      <c r="A9" s="49"/>
      <c r="B9" s="52" t="s">
        <v>243</v>
      </c>
      <c r="C9" s="49"/>
      <c r="D9" s="49"/>
      <c r="E9" s="49"/>
      <c r="F9" s="49"/>
      <c r="G9" s="49"/>
    </row>
    <row r="10" spans="1:7">
      <c r="A10" s="49"/>
      <c r="B10" s="52" t="s">
        <v>244</v>
      </c>
      <c r="C10" s="49"/>
      <c r="D10" s="49"/>
      <c r="E10" s="49"/>
      <c r="F10" s="49"/>
      <c r="G10" s="49"/>
    </row>
    <row r="11" spans="1:7">
      <c r="A11" s="49"/>
      <c r="B11" s="52" t="s">
        <v>245</v>
      </c>
      <c r="C11" s="49"/>
      <c r="D11" s="49"/>
      <c r="E11" s="49"/>
      <c r="F11" s="49"/>
      <c r="G11" s="49"/>
    </row>
    <row r="12" spans="1:7">
      <c r="A12" s="49"/>
      <c r="B12" s="52" t="s">
        <v>246</v>
      </c>
      <c r="C12" s="53"/>
      <c r="D12" s="54"/>
      <c r="E12" s="54"/>
      <c r="F12" s="51"/>
      <c r="G12" s="51"/>
    </row>
    <row r="13" spans="1:7">
      <c r="A13" s="49"/>
      <c r="B13" s="52" t="s">
        <v>247</v>
      </c>
      <c r="C13" s="53"/>
      <c r="D13" s="54"/>
      <c r="E13" s="54"/>
      <c r="F13" s="51"/>
      <c r="G13" s="51"/>
    </row>
    <row r="14" spans="1:7">
      <c r="A14" s="49"/>
      <c r="B14" s="52" t="s">
        <v>248</v>
      </c>
      <c r="C14" s="49"/>
      <c r="D14" s="49"/>
      <c r="E14" s="55"/>
      <c r="F14" s="54"/>
      <c r="G14" s="54"/>
    </row>
    <row r="15" spans="1:7">
      <c r="A15" s="49"/>
      <c r="B15" s="52" t="s">
        <v>249</v>
      </c>
      <c r="C15" s="54"/>
      <c r="D15" s="54"/>
      <c r="E15" s="54"/>
      <c r="F15" s="51"/>
      <c r="G15" s="51"/>
    </row>
    <row r="16" spans="1:7">
      <c r="A16" s="49"/>
      <c r="B16" s="52"/>
      <c r="C16" s="54"/>
      <c r="D16" s="54"/>
      <c r="E16" s="54"/>
      <c r="F16" s="51"/>
      <c r="G16" s="51"/>
    </row>
    <row r="17" spans="1:7">
      <c r="A17" s="49" t="s">
        <v>250</v>
      </c>
      <c r="B17" s="52"/>
      <c r="C17" s="54"/>
      <c r="D17" s="54"/>
      <c r="E17" s="54"/>
      <c r="F17" s="51"/>
      <c r="G17" s="51"/>
    </row>
    <row r="18" spans="1:7">
      <c r="A18" s="49"/>
      <c r="B18" s="52" t="s">
        <v>251</v>
      </c>
      <c r="C18" s="54"/>
      <c r="D18" s="54"/>
      <c r="E18" s="54"/>
      <c r="F18" s="51"/>
      <c r="G18" s="51"/>
    </row>
    <row r="19" spans="1:7">
      <c r="A19" s="49"/>
      <c r="B19" s="52" t="s">
        <v>252</v>
      </c>
      <c r="C19" s="54"/>
      <c r="D19" s="54"/>
      <c r="E19" s="54"/>
      <c r="F19" s="51"/>
      <c r="G19" s="51"/>
    </row>
    <row r="20" spans="1:7">
      <c r="A20" s="49"/>
      <c r="B20" s="52"/>
      <c r="C20" s="54"/>
      <c r="D20" s="54"/>
      <c r="E20" s="54"/>
      <c r="F20" s="51"/>
      <c r="G20" s="51"/>
    </row>
    <row r="21" spans="1:7">
      <c r="A21" s="49" t="s">
        <v>253</v>
      </c>
      <c r="B21" s="56"/>
      <c r="C21" s="56"/>
      <c r="D21" s="57"/>
      <c r="E21" s="57"/>
      <c r="F21" s="56"/>
      <c r="G21" s="56"/>
    </row>
    <row r="22" spans="1:7">
      <c r="A22" s="56"/>
      <c r="B22" s="51" t="s">
        <v>254</v>
      </c>
      <c r="C22" s="510" t="e">
        <f>#REF!</f>
        <v>#REF!</v>
      </c>
      <c r="D22" s="510"/>
      <c r="E22" s="510"/>
      <c r="F22" s="49"/>
      <c r="G22" s="56"/>
    </row>
    <row r="23" spans="1:7">
      <c r="A23" s="56"/>
      <c r="B23" s="49" t="s">
        <v>255</v>
      </c>
      <c r="C23" s="58"/>
      <c r="D23" s="59"/>
      <c r="E23" s="58"/>
      <c r="F23" s="60"/>
      <c r="G23" s="60"/>
    </row>
    <row r="24" spans="1:7">
      <c r="A24" s="49" t="s">
        <v>256</v>
      </c>
      <c r="B24" s="51"/>
      <c r="C24" s="51"/>
      <c r="D24" s="57"/>
      <c r="E24" s="57"/>
      <c r="F24" s="56"/>
      <c r="G24" s="56"/>
    </row>
    <row r="25" spans="1:7" ht="17.25" thickBot="1">
      <c r="A25" s="56"/>
      <c r="B25" s="61" t="s">
        <v>155</v>
      </c>
      <c r="C25" s="62" t="s">
        <v>257</v>
      </c>
      <c r="D25" s="63" t="s">
        <v>258</v>
      </c>
      <c r="E25" s="64" t="s">
        <v>259</v>
      </c>
      <c r="F25" s="64" t="s">
        <v>260</v>
      </c>
      <c r="G25" s="64" t="s">
        <v>261</v>
      </c>
    </row>
    <row r="26" spans="1:7" ht="17.25" thickTop="1">
      <c r="A26" s="56"/>
      <c r="B26" s="65" t="s">
        <v>262</v>
      </c>
      <c r="C26" s="66" t="e">
        <f>C22</f>
        <v>#REF!</v>
      </c>
      <c r="D26" s="67">
        <v>0.45700000000000002</v>
      </c>
      <c r="E26" s="68"/>
      <c r="F26" s="69" t="e">
        <f>TRUNC(C26*(D26+E26)/100,0)</f>
        <v>#REF!</v>
      </c>
      <c r="G26" s="70" t="s">
        <v>449</v>
      </c>
    </row>
    <row r="27" spans="1:7" ht="17.25" thickBot="1">
      <c r="A27" s="56"/>
      <c r="B27" s="71" t="s">
        <v>263</v>
      </c>
      <c r="C27" s="72" t="e">
        <f>C22</f>
        <v>#REF!</v>
      </c>
      <c r="D27" s="73">
        <v>7.2999999999999995E-2</v>
      </c>
      <c r="E27" s="70"/>
      <c r="F27" s="74" t="e">
        <f>TRUNC(C27*D27/100,0)</f>
        <v>#REF!</v>
      </c>
      <c r="G27" s="70"/>
    </row>
    <row r="28" spans="1:7" ht="17.25" thickBot="1">
      <c r="A28" s="56"/>
      <c r="B28" s="71" t="s">
        <v>264</v>
      </c>
      <c r="C28" s="75"/>
      <c r="D28" s="76"/>
      <c r="E28" s="77"/>
      <c r="F28" s="78" t="e">
        <f>ROUNDDOWN(SUM(F26:F27),-3)</f>
        <v>#REF!</v>
      </c>
      <c r="G28" s="79"/>
    </row>
  </sheetData>
  <mergeCells count="2">
    <mergeCell ref="A1:G1"/>
    <mergeCell ref="C22:E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&amp;C손해배상공제료 - &amp;P</oddFooter>
  </headerFooter>
  <colBreaks count="2" manualBreakCount="2">
    <brk id="8" max="1048575" man="1"/>
    <brk id="15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Normal="100" zoomScaleSheetLayoutView="100" workbookViewId="0">
      <selection activeCell="C6" sqref="C6"/>
    </sheetView>
  </sheetViews>
  <sheetFormatPr defaultRowHeight="16.5"/>
  <cols>
    <col min="2" max="2" width="13.375" customWidth="1"/>
    <col min="3" max="3" width="12.125" bestFit="1" customWidth="1"/>
    <col min="6" max="6" width="11.625" bestFit="1" customWidth="1"/>
    <col min="8" max="8" width="7.75" customWidth="1"/>
    <col min="15" max="15" width="13.25" customWidth="1"/>
  </cols>
  <sheetData>
    <row r="1" spans="1:7" ht="26.25">
      <c r="A1" s="509" t="s">
        <v>237</v>
      </c>
      <c r="B1" s="509"/>
      <c r="C1" s="509"/>
      <c r="D1" s="509"/>
      <c r="E1" s="509"/>
      <c r="F1" s="509"/>
      <c r="G1" s="509"/>
    </row>
    <row r="2" spans="1:7">
      <c r="A2" s="49"/>
      <c r="B2" s="49"/>
      <c r="C2" s="49"/>
      <c r="D2" s="49"/>
      <c r="E2" s="49"/>
      <c r="F2" s="49"/>
      <c r="G2" s="49"/>
    </row>
    <row r="3" spans="1:7">
      <c r="A3" s="50" t="s">
        <v>238</v>
      </c>
      <c r="B3" s="49"/>
      <c r="C3" s="49"/>
      <c r="D3" s="49"/>
      <c r="E3" s="49"/>
      <c r="F3" s="49"/>
      <c r="G3" s="49"/>
    </row>
    <row r="4" spans="1:7">
      <c r="A4" s="49"/>
      <c r="B4" s="51" t="s">
        <v>239</v>
      </c>
      <c r="C4" s="49"/>
      <c r="D4" s="49"/>
      <c r="E4" s="49"/>
      <c r="F4" s="49"/>
      <c r="G4" s="49"/>
    </row>
    <row r="5" spans="1:7">
      <c r="A5" s="49"/>
      <c r="B5" s="51" t="s">
        <v>240</v>
      </c>
      <c r="C5" s="49"/>
      <c r="D5" s="49"/>
      <c r="E5" s="49"/>
      <c r="F5" s="49"/>
      <c r="G5" s="49"/>
    </row>
    <row r="6" spans="1:7">
      <c r="A6" s="49"/>
      <c r="B6" s="51" t="s">
        <v>241</v>
      </c>
      <c r="C6" s="49"/>
      <c r="D6" s="49"/>
      <c r="E6" s="49"/>
      <c r="F6" s="49"/>
      <c r="G6" s="49"/>
    </row>
    <row r="7" spans="1:7">
      <c r="A7" s="49"/>
      <c r="B7" s="51"/>
      <c r="C7" s="49"/>
      <c r="D7" s="49"/>
      <c r="E7" s="49"/>
      <c r="F7" s="49"/>
      <c r="G7" s="49"/>
    </row>
    <row r="8" spans="1:7">
      <c r="A8" s="49" t="s">
        <v>242</v>
      </c>
      <c r="B8" s="49"/>
      <c r="C8" s="49"/>
      <c r="D8" s="49"/>
      <c r="E8" s="49"/>
      <c r="F8" s="49"/>
      <c r="G8" s="49"/>
    </row>
    <row r="9" spans="1:7">
      <c r="A9" s="49"/>
      <c r="B9" s="52" t="s">
        <v>243</v>
      </c>
      <c r="C9" s="49"/>
      <c r="D9" s="49"/>
      <c r="E9" s="49"/>
      <c r="F9" s="49"/>
      <c r="G9" s="49"/>
    </row>
    <row r="10" spans="1:7">
      <c r="A10" s="49"/>
      <c r="B10" s="52" t="s">
        <v>244</v>
      </c>
      <c r="C10" s="49"/>
      <c r="D10" s="49"/>
      <c r="E10" s="49"/>
      <c r="F10" s="49"/>
      <c r="G10" s="49"/>
    </row>
    <row r="11" spans="1:7">
      <c r="A11" s="49"/>
      <c r="B11" s="52" t="s">
        <v>245</v>
      </c>
      <c r="C11" s="49"/>
      <c r="D11" s="49"/>
      <c r="E11" s="49"/>
      <c r="F11" s="49"/>
      <c r="G11" s="49"/>
    </row>
    <row r="12" spans="1:7">
      <c r="A12" s="49"/>
      <c r="B12" s="52" t="s">
        <v>246</v>
      </c>
      <c r="C12" s="53"/>
      <c r="D12" s="54"/>
      <c r="E12" s="54"/>
      <c r="F12" s="51"/>
      <c r="G12" s="51"/>
    </row>
    <row r="13" spans="1:7">
      <c r="A13" s="49"/>
      <c r="B13" s="52" t="s">
        <v>247</v>
      </c>
      <c r="C13" s="53"/>
      <c r="D13" s="54"/>
      <c r="E13" s="54"/>
      <c r="F13" s="51"/>
      <c r="G13" s="51"/>
    </row>
    <row r="14" spans="1:7">
      <c r="A14" s="49"/>
      <c r="B14" s="52" t="s">
        <v>248</v>
      </c>
      <c r="C14" s="49"/>
      <c r="D14" s="49"/>
      <c r="E14" s="55"/>
      <c r="F14" s="54"/>
      <c r="G14" s="54"/>
    </row>
    <row r="15" spans="1:7">
      <c r="A15" s="49"/>
      <c r="B15" s="52" t="s">
        <v>249</v>
      </c>
      <c r="C15" s="54"/>
      <c r="D15" s="54"/>
      <c r="E15" s="54"/>
      <c r="F15" s="51"/>
      <c r="G15" s="51"/>
    </row>
    <row r="16" spans="1:7">
      <c r="A16" s="49"/>
      <c r="B16" s="52"/>
      <c r="C16" s="54"/>
      <c r="D16" s="54"/>
      <c r="E16" s="54"/>
      <c r="F16" s="51"/>
      <c r="G16" s="51"/>
    </row>
    <row r="17" spans="1:7">
      <c r="A17" s="49" t="s">
        <v>250</v>
      </c>
      <c r="B17" s="52"/>
      <c r="C17" s="54"/>
      <c r="D17" s="54"/>
      <c r="E17" s="54"/>
      <c r="F17" s="51"/>
      <c r="G17" s="51"/>
    </row>
    <row r="18" spans="1:7">
      <c r="A18" s="49"/>
      <c r="B18" s="52" t="s">
        <v>251</v>
      </c>
      <c r="C18" s="54"/>
      <c r="D18" s="54"/>
      <c r="E18" s="54"/>
      <c r="F18" s="51"/>
      <c r="G18" s="51"/>
    </row>
    <row r="19" spans="1:7">
      <c r="A19" s="49"/>
      <c r="B19" s="52" t="s">
        <v>252</v>
      </c>
      <c r="C19" s="54"/>
      <c r="D19" s="54"/>
      <c r="E19" s="54"/>
      <c r="F19" s="51"/>
      <c r="G19" s="51"/>
    </row>
    <row r="20" spans="1:7">
      <c r="A20" s="49"/>
      <c r="B20" s="52"/>
      <c r="C20" s="54"/>
      <c r="D20" s="54"/>
      <c r="E20" s="54"/>
      <c r="F20" s="51"/>
      <c r="G20" s="51"/>
    </row>
    <row r="21" spans="1:7">
      <c r="A21" s="49" t="s">
        <v>253</v>
      </c>
      <c r="B21" s="56"/>
      <c r="C21" s="56"/>
      <c r="D21" s="57"/>
      <c r="E21" s="57"/>
      <c r="F21" s="56"/>
      <c r="G21" s="56"/>
    </row>
    <row r="22" spans="1:7">
      <c r="A22" s="56"/>
      <c r="B22" s="51" t="s">
        <v>254</v>
      </c>
      <c r="C22" s="510">
        <f>내역서!M32</f>
        <v>0</v>
      </c>
      <c r="D22" s="510"/>
      <c r="E22" s="510"/>
      <c r="F22" s="49"/>
      <c r="G22" s="56"/>
    </row>
    <row r="23" spans="1:7">
      <c r="A23" s="56"/>
      <c r="B23" s="49" t="s">
        <v>255</v>
      </c>
      <c r="C23" s="58"/>
      <c r="D23" s="59"/>
      <c r="E23" s="58"/>
      <c r="F23" s="60"/>
      <c r="G23" s="60"/>
    </row>
    <row r="24" spans="1:7">
      <c r="A24" s="49" t="s">
        <v>256</v>
      </c>
      <c r="B24" s="51"/>
      <c r="C24" s="51"/>
      <c r="D24" s="57"/>
      <c r="E24" s="57"/>
      <c r="F24" s="56"/>
      <c r="G24" s="56"/>
    </row>
    <row r="25" spans="1:7" ht="17.25" thickBot="1">
      <c r="A25" s="56"/>
      <c r="B25" s="61" t="s">
        <v>155</v>
      </c>
      <c r="C25" s="62" t="s">
        <v>257</v>
      </c>
      <c r="D25" s="63" t="s">
        <v>258</v>
      </c>
      <c r="E25" s="64" t="s">
        <v>259</v>
      </c>
      <c r="F25" s="64" t="s">
        <v>260</v>
      </c>
      <c r="G25" s="64" t="s">
        <v>261</v>
      </c>
    </row>
    <row r="26" spans="1:7" ht="17.25" thickTop="1">
      <c r="A26" s="56"/>
      <c r="B26" s="65" t="s">
        <v>262</v>
      </c>
      <c r="C26" s="66">
        <f>C22</f>
        <v>0</v>
      </c>
      <c r="D26" s="67">
        <v>0.45700000000000002</v>
      </c>
      <c r="E26" s="68"/>
      <c r="F26" s="69">
        <f>TRUNC(C26*(D26+E26)/100,0)</f>
        <v>0</v>
      </c>
      <c r="G26" s="70" t="s">
        <v>449</v>
      </c>
    </row>
    <row r="27" spans="1:7" ht="17.25" thickBot="1">
      <c r="A27" s="56"/>
      <c r="B27" s="71" t="s">
        <v>263</v>
      </c>
      <c r="C27" s="72">
        <f>C22</f>
        <v>0</v>
      </c>
      <c r="D27" s="73">
        <v>7.2999999999999995E-2</v>
      </c>
      <c r="E27" s="70"/>
      <c r="F27" s="74">
        <f>TRUNC(C27*D27/100,0)</f>
        <v>0</v>
      </c>
      <c r="G27" s="70"/>
    </row>
    <row r="28" spans="1:7" ht="17.25" thickBot="1">
      <c r="A28" s="56"/>
      <c r="B28" s="71" t="s">
        <v>264</v>
      </c>
      <c r="C28" s="75"/>
      <c r="D28" s="76"/>
      <c r="E28" s="77"/>
      <c r="F28" s="78">
        <f>ROUNDDOWN(SUM(F26:F27),-3)</f>
        <v>0</v>
      </c>
      <c r="G28" s="79"/>
    </row>
  </sheetData>
  <mergeCells count="2">
    <mergeCell ref="A1:G1"/>
    <mergeCell ref="C22:E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&amp;C손해배상공제료 - &amp;P</oddFooter>
  </headerFooter>
  <colBreaks count="2" manualBreakCount="2">
    <brk id="8" max="1048575" man="1"/>
    <brk id="15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topLeftCell="A10" zoomScale="85" zoomScaleNormal="100" zoomScaleSheetLayoutView="85" workbookViewId="0">
      <selection activeCell="C6" sqref="C6"/>
    </sheetView>
  </sheetViews>
  <sheetFormatPr defaultRowHeight="16.5"/>
  <sheetData/>
  <phoneticPr fontId="2" type="noConversion"/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BreakPreview" zoomScaleNormal="100" zoomScaleSheetLayoutView="100" workbookViewId="0">
      <pane ySplit="2" topLeftCell="A13" activePane="bottomLeft" state="frozen"/>
      <selection pane="bottomLeft" activeCell="F34" sqref="F34"/>
    </sheetView>
  </sheetViews>
  <sheetFormatPr defaultRowHeight="16.5"/>
  <cols>
    <col min="4" max="4" width="10.75" bestFit="1" customWidth="1"/>
  </cols>
  <sheetData>
    <row r="1" spans="1:14">
      <c r="A1" s="417" t="s">
        <v>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>
      <c r="A2" s="417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</row>
    <row r="3" spans="1:14" ht="17.25">
      <c r="A3" s="7"/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</row>
    <row r="4" spans="1:14" ht="19.5">
      <c r="A4" s="7"/>
      <c r="B4" s="9" t="s">
        <v>9</v>
      </c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</row>
    <row r="5" spans="1:14" ht="19.5" customHeight="1">
      <c r="A5" s="10"/>
      <c r="B5" s="10" t="s">
        <v>391</v>
      </c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8"/>
    </row>
    <row r="6" spans="1:14" ht="19.5">
      <c r="A6" s="10"/>
      <c r="B6" s="10" t="s">
        <v>392</v>
      </c>
      <c r="C6" s="10"/>
      <c r="D6" s="10"/>
      <c r="E6" s="10"/>
      <c r="F6" s="10"/>
      <c r="G6" s="10"/>
      <c r="H6" s="10"/>
      <c r="I6" s="10"/>
      <c r="J6" s="8"/>
      <c r="K6" s="8"/>
      <c r="L6" s="8"/>
      <c r="M6" s="8"/>
      <c r="N6" s="8"/>
    </row>
    <row r="7" spans="1:14" ht="19.5">
      <c r="A7" s="10"/>
      <c r="B7" s="10" t="s">
        <v>393</v>
      </c>
      <c r="C7" s="10"/>
      <c r="D7" s="10"/>
      <c r="E7" s="10"/>
      <c r="F7" s="10"/>
      <c r="G7" s="10"/>
      <c r="H7" s="10"/>
      <c r="I7" s="10"/>
      <c r="J7" s="8"/>
      <c r="K7" s="8"/>
      <c r="L7" s="8"/>
      <c r="M7" s="8"/>
      <c r="N7" s="8"/>
    </row>
    <row r="8" spans="1:14" ht="19.5">
      <c r="A8" s="10"/>
      <c r="B8" s="10"/>
      <c r="C8" s="10"/>
      <c r="D8" s="10"/>
      <c r="E8" s="10"/>
      <c r="F8" s="10"/>
      <c r="G8" s="10"/>
      <c r="H8" s="10"/>
      <c r="I8" s="10"/>
      <c r="J8" s="8"/>
      <c r="K8" s="8"/>
      <c r="L8" s="8"/>
      <c r="M8" s="8"/>
      <c r="N8" s="8"/>
    </row>
    <row r="9" spans="1:14" ht="19.5">
      <c r="A9" s="10"/>
      <c r="B9" s="9" t="s">
        <v>10</v>
      </c>
      <c r="C9" s="10"/>
      <c r="D9" s="10" t="str">
        <f>총괄표지!B3</f>
        <v>2026년 국도 침하 취약구간 GPR탐사 및 통합관리시스템 구축 용역</v>
      </c>
      <c r="E9" s="10"/>
      <c r="F9" s="10"/>
      <c r="G9" s="10"/>
      <c r="H9" s="10"/>
      <c r="I9" s="10"/>
      <c r="J9" s="8"/>
      <c r="K9" s="8"/>
      <c r="L9" s="8"/>
      <c r="M9" s="8"/>
      <c r="N9" s="8"/>
    </row>
    <row r="10" spans="1:14" ht="19.5">
      <c r="A10" s="418"/>
      <c r="B10" s="418"/>
      <c r="C10" s="418"/>
      <c r="D10" s="418"/>
      <c r="E10" s="418"/>
      <c r="F10" s="418"/>
      <c r="G10" s="418"/>
      <c r="H10" s="418"/>
      <c r="I10" s="418"/>
      <c r="J10" s="8"/>
      <c r="K10" s="8"/>
      <c r="L10" s="8"/>
      <c r="M10" s="8"/>
      <c r="N10" s="8"/>
    </row>
    <row r="11" spans="1:14" ht="19.5">
      <c r="A11" s="10"/>
      <c r="B11" s="9" t="s">
        <v>11</v>
      </c>
      <c r="C11" s="10"/>
      <c r="D11" s="10" t="s">
        <v>435</v>
      </c>
      <c r="E11" s="10"/>
      <c r="F11" s="10"/>
      <c r="G11" s="10"/>
      <c r="H11" s="10"/>
      <c r="I11" s="10"/>
      <c r="J11" s="8"/>
      <c r="K11" s="8"/>
      <c r="L11" s="8"/>
      <c r="M11" s="8"/>
      <c r="N11" s="8"/>
    </row>
    <row r="12" spans="1:14" ht="19.5">
      <c r="A12" s="10"/>
      <c r="B12" s="10"/>
      <c r="C12" s="10"/>
      <c r="D12" s="10"/>
      <c r="E12" s="10"/>
      <c r="F12" s="10"/>
      <c r="G12" s="10"/>
      <c r="H12" s="10"/>
      <c r="I12" s="10"/>
      <c r="J12" s="8"/>
      <c r="K12" s="8"/>
      <c r="L12" s="8"/>
      <c r="M12" s="8"/>
      <c r="N12" s="8"/>
    </row>
    <row r="13" spans="1:14" ht="19.5">
      <c r="A13" s="10"/>
      <c r="B13" s="9" t="s">
        <v>12</v>
      </c>
      <c r="C13" s="10"/>
      <c r="D13" s="10"/>
      <c r="E13" s="10"/>
      <c r="F13" s="10"/>
      <c r="G13" s="10"/>
      <c r="H13" s="10"/>
      <c r="I13" s="10"/>
      <c r="J13" s="8"/>
      <c r="K13" s="8"/>
      <c r="L13" s="8"/>
      <c r="M13" s="8"/>
      <c r="N13" s="8"/>
    </row>
    <row r="14" spans="1:14" ht="19.5">
      <c r="A14" s="10"/>
      <c r="B14" s="10" t="s">
        <v>13</v>
      </c>
      <c r="C14" s="10"/>
      <c r="D14" s="231" t="s">
        <v>435</v>
      </c>
      <c r="E14" s="357">
        <f>산출근거!C7</f>
        <v>2887</v>
      </c>
      <c r="F14" s="10" t="s">
        <v>14</v>
      </c>
      <c r="G14" s="10"/>
      <c r="H14" s="10"/>
      <c r="I14" s="10"/>
      <c r="J14" s="8"/>
      <c r="K14" s="8"/>
      <c r="L14" s="8"/>
      <c r="M14" s="8"/>
      <c r="N14" s="8"/>
    </row>
    <row r="15" spans="1:14" ht="19.5">
      <c r="A15" s="10"/>
      <c r="B15" s="10"/>
      <c r="C15" s="10"/>
      <c r="D15" s="231" t="s">
        <v>436</v>
      </c>
      <c r="E15" s="357">
        <v>0</v>
      </c>
      <c r="F15" s="10" t="s">
        <v>14</v>
      </c>
      <c r="G15" s="10"/>
      <c r="H15" s="10"/>
      <c r="I15" s="10"/>
      <c r="J15" s="8"/>
      <c r="K15" s="8"/>
      <c r="L15" s="8"/>
      <c r="M15" s="8"/>
      <c r="N15" s="8"/>
    </row>
    <row r="16" spans="1:14" ht="19.5">
      <c r="A16" s="10"/>
      <c r="B16" s="10" t="s">
        <v>340</v>
      </c>
      <c r="C16" s="10"/>
      <c r="D16" s="10"/>
      <c r="E16" s="10"/>
      <c r="F16" s="10"/>
      <c r="G16" s="10"/>
      <c r="H16" s="10"/>
      <c r="I16" s="10"/>
      <c r="J16" s="8"/>
      <c r="K16" s="8"/>
      <c r="L16" s="8"/>
      <c r="M16" s="8"/>
      <c r="N16" s="8"/>
    </row>
    <row r="17" spans="1:14" ht="19.5">
      <c r="A17" s="10"/>
      <c r="B17" s="10" t="s">
        <v>15</v>
      </c>
      <c r="C17" s="10"/>
      <c r="D17" s="10"/>
      <c r="E17" s="10" t="s">
        <v>440</v>
      </c>
      <c r="F17" s="10"/>
      <c r="G17" s="10"/>
      <c r="H17" s="10"/>
      <c r="I17" s="10"/>
      <c r="J17" s="8"/>
      <c r="K17" s="8"/>
      <c r="L17" s="8"/>
      <c r="M17" s="8"/>
      <c r="N17" s="8"/>
    </row>
    <row r="18" spans="1:14" ht="19.5">
      <c r="A18" s="10"/>
      <c r="B18" s="10"/>
      <c r="C18" s="10"/>
      <c r="D18" s="10"/>
      <c r="E18" s="10"/>
      <c r="F18" s="10"/>
      <c r="G18" s="10"/>
      <c r="H18" s="10"/>
      <c r="I18" s="10"/>
      <c r="J18" s="8"/>
      <c r="K18" s="8"/>
      <c r="L18" s="8"/>
      <c r="M18" s="8"/>
      <c r="N18" s="8"/>
    </row>
    <row r="19" spans="1:14" ht="19.5">
      <c r="A19" s="10"/>
      <c r="B19" s="9" t="s">
        <v>16</v>
      </c>
      <c r="C19" s="10"/>
      <c r="D19" s="10"/>
      <c r="E19" s="10"/>
      <c r="F19" s="10"/>
      <c r="G19" s="10"/>
      <c r="H19" s="10"/>
      <c r="I19" s="10"/>
      <c r="J19" s="8"/>
      <c r="K19" s="8"/>
      <c r="L19" s="8"/>
      <c r="M19" s="8"/>
      <c r="N19" s="8"/>
    </row>
    <row r="20" spans="1:14" ht="19.5">
      <c r="A20" s="10"/>
      <c r="B20" s="10" t="s">
        <v>483</v>
      </c>
      <c r="C20" s="10"/>
      <c r="D20" s="10"/>
      <c r="E20" s="10"/>
      <c r="F20" s="10"/>
      <c r="G20" s="10"/>
      <c r="H20" s="10"/>
      <c r="I20" s="10"/>
      <c r="J20" s="8"/>
      <c r="K20" s="8"/>
      <c r="L20" s="8"/>
      <c r="M20" s="8"/>
      <c r="N20" s="8"/>
    </row>
    <row r="21" spans="1:14" ht="19.5">
      <c r="A21" s="10"/>
      <c r="B21" s="10" t="s">
        <v>17</v>
      </c>
      <c r="C21" s="10"/>
      <c r="D21" s="10"/>
      <c r="E21" s="10"/>
      <c r="F21" s="10"/>
      <c r="G21" s="10"/>
      <c r="H21" s="10"/>
      <c r="I21" s="10"/>
      <c r="J21" s="8"/>
      <c r="K21" s="8"/>
      <c r="L21" s="8"/>
      <c r="M21" s="8"/>
      <c r="N21" s="8"/>
    </row>
    <row r="22" spans="1:14" ht="19.5">
      <c r="A22" s="10"/>
      <c r="B22" s="234" t="s">
        <v>400</v>
      </c>
      <c r="C22" s="10" t="s">
        <v>395</v>
      </c>
      <c r="D22" s="10"/>
      <c r="E22" s="10"/>
      <c r="F22" s="10"/>
      <c r="G22" s="10"/>
      <c r="H22" s="10"/>
      <c r="I22" s="10"/>
      <c r="J22" s="8"/>
      <c r="K22" s="8"/>
      <c r="L22" s="8"/>
      <c r="M22" s="8"/>
      <c r="N22" s="8"/>
    </row>
    <row r="23" spans="1:14" ht="19.5">
      <c r="A23" s="10"/>
      <c r="B23" s="234" t="s">
        <v>401</v>
      </c>
      <c r="C23" s="10" t="s">
        <v>402</v>
      </c>
      <c r="D23" s="10"/>
      <c r="E23" s="10"/>
      <c r="F23" s="10"/>
      <c r="G23" s="10"/>
      <c r="H23" s="10"/>
      <c r="I23" s="10"/>
      <c r="J23" s="8"/>
      <c r="K23" s="8"/>
      <c r="L23" s="8"/>
      <c r="M23" s="8"/>
      <c r="N23" s="8"/>
    </row>
    <row r="24" spans="1:14" ht="19.5">
      <c r="A24" s="10"/>
      <c r="B24" s="234" t="s">
        <v>396</v>
      </c>
      <c r="C24" s="10" t="s">
        <v>403</v>
      </c>
      <c r="D24" s="10"/>
      <c r="E24" s="10"/>
      <c r="F24" s="10"/>
      <c r="G24" s="10"/>
      <c r="H24" s="10"/>
      <c r="I24" s="10"/>
      <c r="J24" s="8"/>
      <c r="K24" s="8"/>
      <c r="L24" s="8"/>
      <c r="M24" s="8"/>
      <c r="N24" s="8"/>
    </row>
    <row r="25" spans="1:14" ht="19.5">
      <c r="A25" s="10"/>
      <c r="B25" s="234" t="s">
        <v>404</v>
      </c>
      <c r="C25" s="10" t="s">
        <v>405</v>
      </c>
      <c r="D25" s="10"/>
      <c r="E25" s="10"/>
      <c r="F25" s="10"/>
      <c r="G25" s="10"/>
      <c r="H25" s="10"/>
      <c r="I25" s="10"/>
      <c r="J25" s="8"/>
      <c r="K25" s="8"/>
      <c r="L25" s="8"/>
      <c r="M25" s="8"/>
      <c r="N25" s="8"/>
    </row>
    <row r="26" spans="1:14" ht="19.5">
      <c r="A26" s="10"/>
      <c r="B26" s="10"/>
      <c r="C26" s="10"/>
      <c r="D26" s="10"/>
      <c r="E26" s="10"/>
      <c r="F26" s="10"/>
      <c r="G26" s="10"/>
      <c r="H26" s="10"/>
      <c r="I26" s="10"/>
      <c r="J26" s="8"/>
      <c r="K26" s="8"/>
      <c r="L26" s="8"/>
      <c r="M26" s="8"/>
      <c r="N26" s="8"/>
    </row>
    <row r="27" spans="1:14" ht="19.5">
      <c r="A27" s="10"/>
      <c r="B27" s="9" t="s">
        <v>18</v>
      </c>
      <c r="C27" s="10"/>
      <c r="D27" s="10"/>
      <c r="E27" s="10"/>
      <c r="F27" s="10"/>
      <c r="G27" s="10"/>
      <c r="H27" s="10"/>
      <c r="I27" s="10"/>
      <c r="J27" s="8"/>
      <c r="K27" s="8"/>
      <c r="L27" s="8"/>
      <c r="M27" s="8"/>
      <c r="N27" s="8"/>
    </row>
    <row r="28" spans="1:14" ht="19.5">
      <c r="A28" s="10"/>
      <c r="B28" s="10" t="s">
        <v>397</v>
      </c>
      <c r="C28" s="10"/>
      <c r="D28" s="10"/>
      <c r="E28" s="10"/>
      <c r="F28" s="10"/>
      <c r="G28" s="10"/>
      <c r="H28" s="10"/>
      <c r="I28" s="10"/>
      <c r="J28" s="8"/>
      <c r="K28" s="8"/>
      <c r="L28" s="8"/>
      <c r="M28" s="8"/>
      <c r="N28" s="8"/>
    </row>
    <row r="29" spans="1:14" ht="19.5">
      <c r="A29" s="10"/>
      <c r="B29" s="10"/>
      <c r="C29" s="233" t="s">
        <v>394</v>
      </c>
      <c r="D29" s="10"/>
      <c r="E29" s="10"/>
      <c r="F29" s="10"/>
      <c r="G29" s="10"/>
      <c r="H29" s="10"/>
      <c r="I29" s="10"/>
      <c r="J29" s="8"/>
      <c r="K29" s="8"/>
      <c r="L29" s="8"/>
      <c r="M29" s="8"/>
      <c r="N29" s="8"/>
    </row>
    <row r="30" spans="1:14" ht="19.5">
      <c r="A30" s="10"/>
      <c r="B30" s="9" t="s">
        <v>19</v>
      </c>
      <c r="C30" s="10"/>
      <c r="D30" s="10"/>
      <c r="E30" s="10"/>
      <c r="F30" s="10"/>
      <c r="G30" s="10"/>
      <c r="H30" s="10"/>
      <c r="I30" s="10"/>
      <c r="J30" s="8"/>
      <c r="K30" s="8"/>
      <c r="L30" s="8"/>
      <c r="M30" s="8"/>
      <c r="N30" s="8"/>
    </row>
    <row r="31" spans="1:14" ht="19.5">
      <c r="A31" s="188"/>
      <c r="B31" s="10" t="s">
        <v>406</v>
      </c>
      <c r="C31" s="10" t="s">
        <v>408</v>
      </c>
      <c r="D31" s="10"/>
      <c r="E31" s="10"/>
      <c r="F31" s="10"/>
      <c r="G31" s="10"/>
      <c r="H31" s="10"/>
      <c r="I31" s="10"/>
      <c r="J31" s="8"/>
      <c r="K31" s="8"/>
      <c r="L31" s="8"/>
      <c r="M31" s="8"/>
      <c r="N31" s="8"/>
    </row>
    <row r="32" spans="1:14" ht="19.5">
      <c r="A32" s="10"/>
      <c r="B32" s="10"/>
      <c r="C32" s="235" t="s">
        <v>409</v>
      </c>
      <c r="D32" s="188"/>
      <c r="E32" s="188"/>
      <c r="F32" s="188"/>
      <c r="G32" s="188"/>
      <c r="H32" s="188"/>
      <c r="I32" s="188"/>
      <c r="J32" s="8"/>
      <c r="K32" s="8"/>
      <c r="L32" s="8"/>
      <c r="M32" s="8"/>
      <c r="N32" s="8"/>
    </row>
    <row r="33" spans="1:14" ht="19.5">
      <c r="A33" s="10"/>
      <c r="B33" s="10" t="s">
        <v>407</v>
      </c>
      <c r="C33" s="10" t="s">
        <v>410</v>
      </c>
      <c r="D33" s="10"/>
      <c r="E33" s="10"/>
      <c r="F33" s="10"/>
      <c r="G33" s="10"/>
      <c r="H33" s="10"/>
      <c r="I33" s="10"/>
      <c r="J33" s="8"/>
      <c r="K33" s="8"/>
      <c r="L33" s="8"/>
      <c r="M33" s="8"/>
      <c r="N33" s="8"/>
    </row>
    <row r="34" spans="1:14" ht="19.5">
      <c r="A34" s="11"/>
      <c r="B34" s="12"/>
      <c r="C34" s="11"/>
      <c r="D34" s="11"/>
      <c r="E34" s="11"/>
      <c r="F34" s="11"/>
      <c r="G34" s="11"/>
      <c r="H34" s="11"/>
      <c r="I34" s="11"/>
      <c r="J34" s="8"/>
      <c r="K34" s="8"/>
      <c r="L34" s="8"/>
      <c r="M34" s="8"/>
      <c r="N34" s="8"/>
    </row>
    <row r="35" spans="1:14" ht="19.5">
      <c r="A35" s="11"/>
      <c r="B35" s="12" t="s">
        <v>20</v>
      </c>
      <c r="C35" s="11"/>
      <c r="D35" s="11"/>
      <c r="E35" s="11"/>
      <c r="F35" s="11"/>
      <c r="G35" s="11"/>
      <c r="H35" s="11"/>
      <c r="I35" s="11"/>
      <c r="J35" s="8"/>
      <c r="K35" s="8"/>
      <c r="L35" s="8"/>
      <c r="M35" s="8"/>
      <c r="N35" s="8"/>
    </row>
    <row r="36" spans="1:14" ht="19.5">
      <c r="A36" s="11"/>
      <c r="B36" s="11" t="s">
        <v>398</v>
      </c>
      <c r="C36" s="13"/>
      <c r="D36" s="13"/>
      <c r="E36" s="13"/>
      <c r="F36" s="13"/>
      <c r="G36" s="13"/>
      <c r="H36" s="13"/>
      <c r="I36" s="13"/>
      <c r="J36" s="8"/>
      <c r="K36" s="8"/>
      <c r="L36" s="8"/>
      <c r="M36" s="8"/>
      <c r="N36" s="8"/>
    </row>
    <row r="37" spans="1:14" ht="19.5">
      <c r="A37" s="10"/>
      <c r="B37" s="11" t="s">
        <v>399</v>
      </c>
      <c r="C37" s="10"/>
      <c r="D37" s="10"/>
      <c r="E37" s="10"/>
      <c r="F37" s="10"/>
      <c r="G37" s="10"/>
      <c r="H37" s="10"/>
      <c r="I37" s="10"/>
      <c r="J37" s="8"/>
      <c r="K37" s="8"/>
      <c r="L37" s="8"/>
      <c r="M37" s="8"/>
      <c r="N37" s="8"/>
    </row>
  </sheetData>
  <mergeCells count="2">
    <mergeCell ref="A1:N2"/>
    <mergeCell ref="A10:I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>&amp;C과업설명서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Normal="100" zoomScaleSheetLayoutView="100" workbookViewId="0">
      <selection activeCell="D16" sqref="D16"/>
    </sheetView>
  </sheetViews>
  <sheetFormatPr defaultRowHeight="16.5"/>
  <cols>
    <col min="1" max="2" width="25.625" customWidth="1"/>
    <col min="3" max="6" width="13.625" customWidth="1"/>
    <col min="7" max="7" width="11.625" bestFit="1" customWidth="1"/>
  </cols>
  <sheetData>
    <row r="1" spans="1:7" ht="33.75">
      <c r="A1" s="419" t="s">
        <v>21</v>
      </c>
      <c r="B1" s="419"/>
      <c r="C1" s="419"/>
      <c r="D1" s="419"/>
      <c r="E1" s="419"/>
      <c r="F1" s="419"/>
      <c r="G1" s="419"/>
    </row>
    <row r="2" spans="1:7" ht="18.75" customHeight="1">
      <c r="A2" s="94"/>
      <c r="B2" s="172"/>
      <c r="C2" s="173"/>
      <c r="D2" s="172"/>
      <c r="E2" s="172"/>
      <c r="F2" s="174"/>
    </row>
    <row r="3" spans="1:7" ht="18.75" customHeight="1">
      <c r="A3" s="94" t="str">
        <f>총괄표지!B3</f>
        <v>2026년 국도 침하 취약구간 GPR탐사 및 통합관리시스템 구축 용역</v>
      </c>
      <c r="B3" s="172"/>
      <c r="C3" s="173"/>
      <c r="D3" s="172"/>
      <c r="E3" s="172"/>
      <c r="F3" s="174"/>
    </row>
    <row r="4" spans="1:7" ht="10.5" customHeight="1">
      <c r="A4" s="94"/>
      <c r="B4" s="172"/>
      <c r="C4" s="173"/>
      <c r="D4" s="172"/>
      <c r="E4" s="172"/>
      <c r="F4" s="174"/>
    </row>
    <row r="5" spans="1:7" s="175" customFormat="1" ht="24.95" customHeight="1">
      <c r="A5" s="183" t="s">
        <v>22</v>
      </c>
      <c r="B5" s="183" t="s">
        <v>23</v>
      </c>
      <c r="C5" s="183" t="s">
        <v>24</v>
      </c>
      <c r="D5" s="183" t="s">
        <v>25</v>
      </c>
      <c r="E5" s="183" t="s">
        <v>26</v>
      </c>
      <c r="F5" s="183" t="s">
        <v>27</v>
      </c>
      <c r="G5" s="183" t="s">
        <v>28</v>
      </c>
    </row>
    <row r="6" spans="1:7" s="175" customFormat="1" ht="24.95" customHeight="1">
      <c r="A6" s="420"/>
      <c r="B6" s="421"/>
      <c r="C6" s="176"/>
      <c r="D6" s="178"/>
      <c r="E6" s="178"/>
      <c r="F6" s="179"/>
      <c r="G6" s="179"/>
    </row>
    <row r="7" spans="1:7" s="175" customFormat="1" ht="24.95" customHeight="1">
      <c r="A7" s="86" t="s">
        <v>29</v>
      </c>
      <c r="B7" s="176"/>
      <c r="C7" s="182"/>
      <c r="D7" s="182"/>
      <c r="E7" s="182"/>
      <c r="F7" s="182"/>
      <c r="G7" s="182"/>
    </row>
    <row r="8" spans="1:7" s="175" customFormat="1" ht="24.95" customHeight="1">
      <c r="A8" s="86" t="s">
        <v>30</v>
      </c>
      <c r="B8" s="177"/>
      <c r="C8" s="182"/>
      <c r="D8" s="182"/>
      <c r="E8" s="182"/>
      <c r="F8" s="182"/>
      <c r="G8" s="182"/>
    </row>
    <row r="9" spans="1:7" s="175" customFormat="1" ht="24.95" customHeight="1">
      <c r="A9" s="86" t="s">
        <v>342</v>
      </c>
      <c r="B9" s="180"/>
      <c r="C9" s="182"/>
      <c r="D9" s="182"/>
      <c r="E9" s="182"/>
      <c r="F9" s="182"/>
      <c r="G9" s="182"/>
    </row>
    <row r="10" spans="1:7" s="175" customFormat="1" ht="24.95" customHeight="1">
      <c r="A10" s="86" t="s">
        <v>31</v>
      </c>
      <c r="B10" s="103"/>
      <c r="C10" s="182"/>
      <c r="D10" s="182"/>
      <c r="E10" s="182"/>
      <c r="F10" s="182"/>
      <c r="G10" s="182"/>
    </row>
    <row r="11" spans="1:7" s="175" customFormat="1" ht="24.95" customHeight="1">
      <c r="A11" s="86" t="s">
        <v>33</v>
      </c>
      <c r="B11" s="103"/>
      <c r="C11" s="182"/>
      <c r="D11" s="182"/>
      <c r="E11" s="182"/>
      <c r="F11" s="182"/>
      <c r="G11" s="182"/>
    </row>
    <row r="12" spans="1:7" s="175" customFormat="1" ht="24.95" customHeight="1">
      <c r="A12" s="93" t="s">
        <v>35</v>
      </c>
      <c r="B12" s="86"/>
      <c r="C12" s="182"/>
      <c r="D12" s="182"/>
      <c r="E12" s="182"/>
      <c r="F12" s="182"/>
      <c r="G12" s="182"/>
    </row>
    <row r="13" spans="1:7" s="175" customFormat="1" ht="24.95" customHeight="1">
      <c r="A13" s="93"/>
      <c r="B13" s="177"/>
      <c r="C13" s="182"/>
      <c r="D13" s="182"/>
      <c r="E13" s="182"/>
      <c r="F13" s="182"/>
      <c r="G13" s="182"/>
    </row>
    <row r="14" spans="1:7" s="175" customFormat="1" ht="24.95" customHeight="1">
      <c r="A14" s="181" t="s">
        <v>36</v>
      </c>
      <c r="B14" s="180"/>
      <c r="C14" s="182"/>
      <c r="D14" s="182"/>
      <c r="E14" s="182"/>
      <c r="F14" s="182"/>
      <c r="G14" s="182"/>
    </row>
    <row r="15" spans="1:7" s="175" customFormat="1" ht="24.95" customHeight="1">
      <c r="A15" s="93"/>
      <c r="B15" s="180"/>
      <c r="C15" s="182"/>
      <c r="D15" s="182"/>
      <c r="E15" s="182"/>
      <c r="F15" s="182"/>
      <c r="G15" s="182"/>
    </row>
    <row r="16" spans="1:7" s="175" customFormat="1" ht="24.95" customHeight="1">
      <c r="A16" s="93" t="s">
        <v>37</v>
      </c>
      <c r="B16" s="177"/>
      <c r="C16" s="182"/>
      <c r="D16" s="182"/>
      <c r="E16" s="182"/>
      <c r="F16" s="182"/>
      <c r="G16" s="182"/>
    </row>
    <row r="17" spans="1:7" s="175" customFormat="1" ht="24.95" customHeight="1">
      <c r="A17" s="93"/>
      <c r="B17" s="177"/>
      <c r="C17" s="182"/>
      <c r="D17" s="182"/>
      <c r="E17" s="182"/>
      <c r="F17" s="182"/>
      <c r="G17" s="182"/>
    </row>
    <row r="18" spans="1:7" s="175" customFormat="1" ht="24.95" customHeight="1">
      <c r="A18" s="181" t="s">
        <v>38</v>
      </c>
      <c r="B18" s="177"/>
      <c r="C18" s="182"/>
      <c r="D18" s="182"/>
      <c r="E18" s="182"/>
      <c r="F18" s="182">
        <f>내역서!$M$39</f>
        <v>3060000000</v>
      </c>
      <c r="G18" s="182"/>
    </row>
    <row r="19" spans="1:7" s="175" customFormat="1" ht="24.95" customHeight="1">
      <c r="A19" s="93"/>
      <c r="B19" s="177"/>
      <c r="C19" s="182"/>
      <c r="D19" s="182"/>
      <c r="E19" s="182"/>
      <c r="F19" s="182"/>
      <c r="G19" s="182"/>
    </row>
    <row r="21" spans="1:7">
      <c r="A21" s="80"/>
      <c r="B21" s="81"/>
      <c r="C21" s="88"/>
      <c r="D21" s="88"/>
      <c r="E21" s="88"/>
      <c r="F21" s="171"/>
    </row>
  </sheetData>
  <mergeCells count="2">
    <mergeCell ref="A1:G1"/>
    <mergeCell ref="A6:B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E34" sqref="E34"/>
    </sheetView>
  </sheetViews>
  <sheetFormatPr defaultRowHeight="16.5"/>
  <cols>
    <col min="1" max="1" width="8.125" customWidth="1"/>
    <col min="2" max="2" width="24.75" customWidth="1"/>
    <col min="3" max="3" width="23" bestFit="1" customWidth="1"/>
    <col min="4" max="4" width="8.5" bestFit="1" customWidth="1"/>
    <col min="5" max="5" width="5.75" bestFit="1" customWidth="1"/>
    <col min="6" max="6" width="8.75" style="24" bestFit="1" customWidth="1"/>
    <col min="7" max="7" width="13.375" style="24" customWidth="1"/>
    <col min="8" max="8" width="14.25" style="24" bestFit="1" customWidth="1"/>
    <col min="9" max="9" width="13.25" style="24" bestFit="1" customWidth="1"/>
    <col min="10" max="11" width="12.875" style="24" bestFit="1" customWidth="1"/>
    <col min="12" max="12" width="14.25" style="24" bestFit="1" customWidth="1"/>
    <col min="13" max="13" width="14.5" style="24" bestFit="1" customWidth="1"/>
    <col min="14" max="14" width="11.75" style="102" bestFit="1" customWidth="1"/>
    <col min="15" max="15" width="3.375" style="274" customWidth="1"/>
    <col min="16" max="16" width="5.625" style="274" customWidth="1"/>
    <col min="17" max="18" width="13.625" style="274" customWidth="1"/>
  </cols>
  <sheetData>
    <row r="1" spans="1:19" ht="33.75">
      <c r="A1" s="419" t="s">
        <v>448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9" ht="24" customHeight="1">
      <c r="A2" s="94" t="str">
        <f>총괄표지!B3</f>
        <v>2026년 국도 침하 취약구간 GPR탐사 및 통합관리시스템 구축 용역</v>
      </c>
      <c r="B2" s="94"/>
      <c r="C2" s="14"/>
      <c r="D2" s="14"/>
      <c r="E2" s="14"/>
      <c r="F2" s="14"/>
      <c r="G2" s="14"/>
      <c r="H2" s="14"/>
      <c r="I2" s="14"/>
      <c r="J2" s="14"/>
      <c r="K2" s="14"/>
      <c r="L2" s="14"/>
      <c r="M2" s="91"/>
    </row>
    <row r="3" spans="1:19" ht="10.5" customHeight="1" thickBot="1">
      <c r="A3" s="80"/>
      <c r="B3" s="80"/>
      <c r="C3" s="81"/>
      <c r="D3" s="82"/>
      <c r="E3" s="82"/>
      <c r="F3" s="88"/>
      <c r="G3" s="88"/>
      <c r="H3" s="88"/>
      <c r="I3" s="88"/>
      <c r="J3" s="88"/>
      <c r="K3" s="88"/>
      <c r="L3" s="88"/>
      <c r="M3" s="88"/>
      <c r="N3" s="171"/>
    </row>
    <row r="4" spans="1:19" ht="22.5" customHeight="1">
      <c r="A4" s="439" t="s">
        <v>39</v>
      </c>
      <c r="B4" s="440"/>
      <c r="C4" s="437" t="s">
        <v>40</v>
      </c>
      <c r="D4" s="437" t="s">
        <v>41</v>
      </c>
      <c r="E4" s="437" t="s">
        <v>42</v>
      </c>
      <c r="F4" s="434" t="s">
        <v>43</v>
      </c>
      <c r="G4" s="434" t="s">
        <v>44</v>
      </c>
      <c r="H4" s="434" t="s">
        <v>45</v>
      </c>
      <c r="I4" s="434" t="s">
        <v>44</v>
      </c>
      <c r="J4" s="434" t="s">
        <v>46</v>
      </c>
      <c r="K4" s="434" t="s">
        <v>44</v>
      </c>
      <c r="L4" s="434" t="s">
        <v>47</v>
      </c>
      <c r="M4" s="434" t="s">
        <v>44</v>
      </c>
      <c r="N4" s="435" t="s">
        <v>48</v>
      </c>
    </row>
    <row r="5" spans="1:19" ht="22.5" customHeight="1">
      <c r="A5" s="441"/>
      <c r="B5" s="442"/>
      <c r="C5" s="438" t="s">
        <v>44</v>
      </c>
      <c r="D5" s="438" t="s">
        <v>44</v>
      </c>
      <c r="E5" s="438" t="s">
        <v>44</v>
      </c>
      <c r="F5" s="356" t="s">
        <v>49</v>
      </c>
      <c r="G5" s="356" t="s">
        <v>50</v>
      </c>
      <c r="H5" s="356" t="s">
        <v>49</v>
      </c>
      <c r="I5" s="356" t="s">
        <v>50</v>
      </c>
      <c r="J5" s="356" t="s">
        <v>49</v>
      </c>
      <c r="K5" s="356" t="s">
        <v>50</v>
      </c>
      <c r="L5" s="356" t="s">
        <v>49</v>
      </c>
      <c r="M5" s="356" t="s">
        <v>50</v>
      </c>
      <c r="N5" s="436" t="s">
        <v>44</v>
      </c>
      <c r="R5" s="355">
        <v>0.82</v>
      </c>
    </row>
    <row r="6" spans="1:19" ht="20.100000000000001" customHeight="1">
      <c r="A6" s="424" t="s">
        <v>447</v>
      </c>
      <c r="B6" s="421"/>
      <c r="C6" s="268"/>
      <c r="D6" s="268"/>
      <c r="E6" s="268"/>
      <c r="F6" s="333"/>
      <c r="G6" s="333"/>
      <c r="H6" s="333"/>
      <c r="I6" s="333"/>
      <c r="J6" s="333"/>
      <c r="K6" s="333"/>
      <c r="L6" s="333"/>
      <c r="M6" s="333"/>
      <c r="N6" s="373"/>
    </row>
    <row r="7" spans="1:19" ht="20.100000000000001" customHeight="1">
      <c r="A7" s="374" t="s">
        <v>51</v>
      </c>
      <c r="B7" s="86"/>
      <c r="C7" s="84"/>
      <c r="D7" s="83"/>
      <c r="E7" s="83"/>
      <c r="F7" s="334"/>
      <c r="G7" s="335"/>
      <c r="H7" s="334"/>
      <c r="I7" s="329"/>
      <c r="J7" s="329"/>
      <c r="K7" s="329"/>
      <c r="L7" s="329"/>
      <c r="M7" s="329"/>
      <c r="N7" s="375"/>
      <c r="Q7" s="290" t="s">
        <v>27</v>
      </c>
      <c r="R7" s="290" t="s">
        <v>434</v>
      </c>
    </row>
    <row r="8" spans="1:19" ht="20.100000000000001" customHeight="1">
      <c r="A8" s="431" t="s">
        <v>428</v>
      </c>
      <c r="B8" s="85" t="s">
        <v>276</v>
      </c>
      <c r="C8" s="350" t="s">
        <v>475</v>
      </c>
      <c r="D8" s="36">
        <v>1</v>
      </c>
      <c r="E8" s="83" t="s">
        <v>57</v>
      </c>
      <c r="F8" s="335"/>
      <c r="G8" s="335"/>
      <c r="H8" s="335"/>
      <c r="I8" s="335"/>
      <c r="J8" s="335"/>
      <c r="K8" s="335"/>
      <c r="L8" s="335"/>
      <c r="M8" s="335"/>
      <c r="N8" s="373"/>
      <c r="P8" s="274" t="s">
        <v>433</v>
      </c>
      <c r="Q8" s="274">
        <f>SUM(M8:M11)</f>
        <v>0</v>
      </c>
      <c r="R8" s="274">
        <f>Q8/D9</f>
        <v>0</v>
      </c>
    </row>
    <row r="9" spans="1:19" ht="20.100000000000001" customHeight="1">
      <c r="A9" s="432"/>
      <c r="B9" s="103" t="s">
        <v>277</v>
      </c>
      <c r="C9" s="85"/>
      <c r="D9" s="36">
        <f>산출근거!C7</f>
        <v>2887</v>
      </c>
      <c r="E9" s="83" t="s">
        <v>7</v>
      </c>
      <c r="F9" s="335"/>
      <c r="G9" s="335"/>
      <c r="H9" s="335"/>
      <c r="I9" s="335"/>
      <c r="J9" s="335"/>
      <c r="K9" s="335"/>
      <c r="L9" s="335"/>
      <c r="M9" s="335"/>
      <c r="N9" s="373"/>
      <c r="O9" s="275"/>
      <c r="P9" s="275"/>
    </row>
    <row r="10" spans="1:19" ht="20.100000000000001" customHeight="1">
      <c r="A10" s="432"/>
      <c r="B10" s="85" t="s">
        <v>278</v>
      </c>
      <c r="C10" s="84"/>
      <c r="D10" s="36">
        <f>D9</f>
        <v>2887</v>
      </c>
      <c r="E10" s="83" t="s">
        <v>7</v>
      </c>
      <c r="F10" s="335"/>
      <c r="G10" s="335"/>
      <c r="H10" s="335"/>
      <c r="I10" s="335"/>
      <c r="J10" s="335"/>
      <c r="K10" s="335"/>
      <c r="L10" s="335"/>
      <c r="M10" s="335"/>
      <c r="N10" s="373"/>
    </row>
    <row r="11" spans="1:19" ht="20.100000000000001" customHeight="1">
      <c r="A11" s="433"/>
      <c r="B11" s="85" t="s">
        <v>279</v>
      </c>
      <c r="C11" s="84"/>
      <c r="D11" s="36">
        <v>1</v>
      </c>
      <c r="E11" s="83" t="s">
        <v>57</v>
      </c>
      <c r="F11" s="335"/>
      <c r="G11" s="335"/>
      <c r="H11" s="335"/>
      <c r="I11" s="335"/>
      <c r="J11" s="335"/>
      <c r="K11" s="335"/>
      <c r="L11" s="335"/>
      <c r="M11" s="335"/>
      <c r="N11" s="373"/>
      <c r="Q11" s="290"/>
      <c r="R11" s="290">
        <v>4000</v>
      </c>
      <c r="S11" s="328">
        <f>R11*0.15</f>
        <v>600</v>
      </c>
    </row>
    <row r="12" spans="1:19" ht="20.100000000000001" customHeight="1">
      <c r="A12" s="431" t="s">
        <v>281</v>
      </c>
      <c r="B12" s="85" t="s">
        <v>282</v>
      </c>
      <c r="C12" s="84"/>
      <c r="D12" s="100">
        <v>1</v>
      </c>
      <c r="E12" s="83" t="s">
        <v>286</v>
      </c>
      <c r="F12" s="336"/>
      <c r="G12" s="336"/>
      <c r="H12" s="336"/>
      <c r="I12" s="336"/>
      <c r="J12" s="336"/>
      <c r="K12" s="336"/>
      <c r="L12" s="336"/>
      <c r="M12" s="336"/>
      <c r="N12" s="373"/>
    </row>
    <row r="13" spans="1:19" ht="20.100000000000001" customHeight="1">
      <c r="A13" s="432"/>
      <c r="B13" s="85" t="s">
        <v>283</v>
      </c>
      <c r="C13" s="84"/>
      <c r="D13" s="100">
        <f>산출근거!E36</f>
        <v>288</v>
      </c>
      <c r="E13" s="83" t="s">
        <v>274</v>
      </c>
      <c r="F13" s="336"/>
      <c r="G13" s="336"/>
      <c r="H13" s="336"/>
      <c r="I13" s="336"/>
      <c r="J13" s="336"/>
      <c r="K13" s="336"/>
      <c r="L13" s="336"/>
      <c r="M13" s="336"/>
      <c r="N13" s="373"/>
      <c r="O13" s="275"/>
      <c r="P13" s="275"/>
    </row>
    <row r="14" spans="1:19" ht="20.100000000000001" customHeight="1">
      <c r="A14" s="432"/>
      <c r="B14" s="85" t="s">
        <v>284</v>
      </c>
      <c r="C14" s="84"/>
      <c r="D14" s="100">
        <f>D13</f>
        <v>288</v>
      </c>
      <c r="E14" s="83" t="s">
        <v>274</v>
      </c>
      <c r="F14" s="336"/>
      <c r="G14" s="336"/>
      <c r="H14" s="336"/>
      <c r="I14" s="336"/>
      <c r="J14" s="336"/>
      <c r="K14" s="336"/>
      <c r="L14" s="336"/>
      <c r="M14" s="336"/>
      <c r="N14" s="373"/>
    </row>
    <row r="15" spans="1:19" ht="20.100000000000001" customHeight="1">
      <c r="A15" s="432"/>
      <c r="B15" s="85" t="s">
        <v>285</v>
      </c>
      <c r="C15" s="84"/>
      <c r="D15" s="100">
        <v>1</v>
      </c>
      <c r="E15" s="83" t="s">
        <v>286</v>
      </c>
      <c r="F15" s="336"/>
      <c r="G15" s="336"/>
      <c r="H15" s="336"/>
      <c r="I15" s="336"/>
      <c r="J15" s="336"/>
      <c r="K15" s="336"/>
      <c r="L15" s="336"/>
      <c r="M15" s="336"/>
      <c r="N15" s="373"/>
    </row>
    <row r="16" spans="1:19" ht="20.100000000000001" customHeight="1">
      <c r="A16" s="376" t="s">
        <v>273</v>
      </c>
      <c r="B16" s="85" t="s">
        <v>280</v>
      </c>
      <c r="C16" s="84"/>
      <c r="D16" s="100">
        <v>1</v>
      </c>
      <c r="E16" s="83" t="s">
        <v>286</v>
      </c>
      <c r="F16" s="336"/>
      <c r="G16" s="336"/>
      <c r="H16" s="336"/>
      <c r="I16" s="336"/>
      <c r="J16" s="336"/>
      <c r="K16" s="336"/>
      <c r="L16" s="336"/>
      <c r="M16" s="336"/>
      <c r="N16" s="373"/>
    </row>
    <row r="17" spans="1:18" ht="20.100000000000001" customHeight="1">
      <c r="A17" s="422" t="s">
        <v>53</v>
      </c>
      <c r="B17" s="423"/>
      <c r="C17" s="86"/>
      <c r="D17" s="199"/>
      <c r="E17" s="87"/>
      <c r="F17" s="337"/>
      <c r="G17" s="337"/>
      <c r="H17" s="337"/>
      <c r="I17" s="337"/>
      <c r="J17" s="337"/>
      <c r="K17" s="337"/>
      <c r="L17" s="337"/>
      <c r="M17" s="337"/>
      <c r="N17" s="377"/>
    </row>
    <row r="18" spans="1:18" ht="20.100000000000001" customHeight="1">
      <c r="A18" s="374" t="s">
        <v>54</v>
      </c>
      <c r="B18" s="86"/>
      <c r="C18" s="84"/>
      <c r="D18" s="100"/>
      <c r="E18" s="83"/>
      <c r="F18" s="336"/>
      <c r="G18" s="336"/>
      <c r="H18" s="336"/>
      <c r="I18" s="336"/>
      <c r="J18" s="336"/>
      <c r="K18" s="336"/>
      <c r="L18" s="336"/>
      <c r="M18" s="336"/>
      <c r="N18" s="373"/>
    </row>
    <row r="19" spans="1:18" ht="20.100000000000001" customHeight="1">
      <c r="A19" s="378" t="s">
        <v>55</v>
      </c>
      <c r="B19" s="84"/>
      <c r="C19" s="84" t="s">
        <v>56</v>
      </c>
      <c r="D19" s="100">
        <v>1</v>
      </c>
      <c r="E19" s="83" t="s">
        <v>57</v>
      </c>
      <c r="F19" s="338"/>
      <c r="G19" s="336"/>
      <c r="H19" s="338"/>
      <c r="I19" s="336"/>
      <c r="J19" s="336"/>
      <c r="K19" s="336"/>
      <c r="L19" s="336"/>
      <c r="M19" s="336"/>
      <c r="N19" s="373"/>
      <c r="R19" s="274">
        <v>600</v>
      </c>
    </row>
    <row r="20" spans="1:18" ht="20.100000000000001" customHeight="1">
      <c r="A20" s="422" t="s">
        <v>53</v>
      </c>
      <c r="B20" s="423"/>
      <c r="C20" s="86" t="s">
        <v>44</v>
      </c>
      <c r="D20" s="199"/>
      <c r="E20" s="87"/>
      <c r="F20" s="337"/>
      <c r="G20" s="337"/>
      <c r="H20" s="337"/>
      <c r="I20" s="337"/>
      <c r="J20" s="337"/>
      <c r="K20" s="337"/>
      <c r="L20" s="337"/>
      <c r="M20" s="337"/>
      <c r="N20" s="377"/>
    </row>
    <row r="21" spans="1:18" ht="20.100000000000001" customHeight="1">
      <c r="A21" s="374" t="s">
        <v>341</v>
      </c>
      <c r="B21" s="86"/>
      <c r="C21" s="84"/>
      <c r="D21" s="100"/>
      <c r="E21" s="83"/>
      <c r="F21" s="336"/>
      <c r="G21" s="336"/>
      <c r="H21" s="336"/>
      <c r="I21" s="336"/>
      <c r="J21" s="336"/>
      <c r="K21" s="336"/>
      <c r="L21" s="336"/>
      <c r="M21" s="336"/>
      <c r="N21" s="373"/>
    </row>
    <row r="22" spans="1:18" ht="20.100000000000001" customHeight="1">
      <c r="A22" s="378" t="s">
        <v>287</v>
      </c>
      <c r="B22" s="84"/>
      <c r="C22" s="84"/>
      <c r="D22" s="100">
        <f>D14</f>
        <v>288</v>
      </c>
      <c r="E22" s="83" t="s">
        <v>52</v>
      </c>
      <c r="F22" s="336"/>
      <c r="G22" s="336"/>
      <c r="H22" s="336"/>
      <c r="I22" s="336"/>
      <c r="J22" s="336"/>
      <c r="K22" s="336"/>
      <c r="L22" s="336"/>
      <c r="M22" s="336"/>
      <c r="N22" s="373"/>
    </row>
    <row r="23" spans="1:18" ht="20.100000000000001" customHeight="1">
      <c r="A23" s="378" t="s">
        <v>441</v>
      </c>
      <c r="B23" s="84"/>
      <c r="C23" s="84" t="s">
        <v>58</v>
      </c>
      <c r="D23" s="100">
        <f>ROUND(D22*0.1,0)</f>
        <v>29</v>
      </c>
      <c r="E23" s="83" t="s">
        <v>442</v>
      </c>
      <c r="F23" s="336"/>
      <c r="G23" s="336"/>
      <c r="H23" s="336"/>
      <c r="I23" s="336"/>
      <c r="J23" s="336"/>
      <c r="K23" s="336"/>
      <c r="L23" s="336"/>
      <c r="M23" s="336"/>
      <c r="N23" s="373"/>
    </row>
    <row r="24" spans="1:18" ht="20.100000000000001" customHeight="1">
      <c r="A24" s="422" t="s">
        <v>53</v>
      </c>
      <c r="B24" s="423"/>
      <c r="C24" s="86"/>
      <c r="D24" s="199"/>
      <c r="E24" s="87"/>
      <c r="F24" s="337"/>
      <c r="G24" s="339"/>
      <c r="H24" s="337"/>
      <c r="I24" s="337"/>
      <c r="J24" s="337"/>
      <c r="K24" s="337"/>
      <c r="L24" s="337"/>
      <c r="M24" s="337"/>
      <c r="N24" s="377"/>
    </row>
    <row r="25" spans="1:18" ht="20.100000000000001" customHeight="1">
      <c r="A25" s="379" t="s">
        <v>59</v>
      </c>
      <c r="B25" s="200"/>
      <c r="C25" s="103" t="s">
        <v>32</v>
      </c>
      <c r="D25" s="36">
        <v>1</v>
      </c>
      <c r="E25" s="83" t="s">
        <v>57</v>
      </c>
      <c r="F25" s="335"/>
      <c r="G25" s="335"/>
      <c r="H25" s="335"/>
      <c r="I25" s="335"/>
      <c r="J25" s="335"/>
      <c r="K25" s="335"/>
      <c r="L25" s="335"/>
      <c r="M25" s="340"/>
      <c r="N25" s="373"/>
    </row>
    <row r="26" spans="1:18" ht="20.100000000000001" customHeight="1">
      <c r="A26" s="379" t="s">
        <v>60</v>
      </c>
      <c r="B26" s="200"/>
      <c r="C26" s="103" t="s">
        <v>34</v>
      </c>
      <c r="D26" s="36">
        <v>1</v>
      </c>
      <c r="E26" s="83" t="s">
        <v>57</v>
      </c>
      <c r="F26" s="335"/>
      <c r="G26" s="335"/>
      <c r="H26" s="335"/>
      <c r="I26" s="335"/>
      <c r="J26" s="335"/>
      <c r="K26" s="335"/>
      <c r="L26" s="335"/>
      <c r="M26" s="340"/>
      <c r="N26" s="373"/>
    </row>
    <row r="27" spans="1:18" ht="20.100000000000001" customHeight="1">
      <c r="A27" s="422" t="s">
        <v>450</v>
      </c>
      <c r="B27" s="423"/>
      <c r="C27" s="86" t="s">
        <v>44</v>
      </c>
      <c r="D27" s="90"/>
      <c r="E27" s="87" t="s">
        <v>44</v>
      </c>
      <c r="F27" s="330"/>
      <c r="G27" s="329"/>
      <c r="H27" s="330"/>
      <c r="I27" s="329"/>
      <c r="J27" s="330"/>
      <c r="K27" s="329"/>
      <c r="L27" s="329"/>
      <c r="M27" s="329"/>
      <c r="N27" s="380"/>
      <c r="Q27" s="274">
        <f>M27</f>
        <v>0</v>
      </c>
      <c r="R27" s="313">
        <f>M27/D9</f>
        <v>0</v>
      </c>
    </row>
    <row r="28" spans="1:18" ht="20.100000000000001" customHeight="1">
      <c r="A28" s="424" t="s">
        <v>451</v>
      </c>
      <c r="B28" s="421"/>
      <c r="C28" s="268"/>
      <c r="D28" s="268"/>
      <c r="E28" s="268"/>
      <c r="F28" s="333"/>
      <c r="G28" s="333"/>
      <c r="H28" s="333"/>
      <c r="I28" s="333"/>
      <c r="J28" s="333"/>
      <c r="K28" s="333"/>
      <c r="L28" s="333"/>
      <c r="M28" s="333"/>
      <c r="N28" s="373"/>
    </row>
    <row r="29" spans="1:18" ht="20.100000000000001" customHeight="1">
      <c r="A29" s="374" t="s">
        <v>465</v>
      </c>
      <c r="B29" s="86"/>
      <c r="C29" s="84"/>
      <c r="D29" s="100"/>
      <c r="E29" s="83"/>
      <c r="F29" s="336"/>
      <c r="G29" s="336"/>
      <c r="H29" s="336"/>
      <c r="I29" s="336"/>
      <c r="J29" s="336"/>
      <c r="K29" s="336"/>
      <c r="L29" s="336"/>
      <c r="M29" s="336"/>
      <c r="N29" s="373"/>
    </row>
    <row r="30" spans="1:18" ht="20.100000000000001" customHeight="1">
      <c r="A30" s="378" t="s">
        <v>466</v>
      </c>
      <c r="B30" s="84"/>
      <c r="C30" s="84"/>
      <c r="D30" s="100">
        <v>1</v>
      </c>
      <c r="E30" s="83" t="s">
        <v>57</v>
      </c>
      <c r="F30" s="336"/>
      <c r="G30" s="336"/>
      <c r="H30" s="336"/>
      <c r="I30" s="336"/>
      <c r="J30" s="336"/>
      <c r="K30" s="336"/>
      <c r="L30" s="336"/>
      <c r="M30" s="336"/>
      <c r="N30" s="381"/>
    </row>
    <row r="31" spans="1:18" ht="20.100000000000001" customHeight="1">
      <c r="A31" s="422" t="s">
        <v>450</v>
      </c>
      <c r="B31" s="423"/>
      <c r="C31" s="86" t="s">
        <v>44</v>
      </c>
      <c r="D31" s="90"/>
      <c r="E31" s="87" t="s">
        <v>44</v>
      </c>
      <c r="F31" s="330"/>
      <c r="G31" s="329"/>
      <c r="H31" s="330"/>
      <c r="I31" s="329"/>
      <c r="J31" s="330"/>
      <c r="K31" s="329"/>
      <c r="L31" s="329"/>
      <c r="M31" s="329"/>
      <c r="N31" s="382"/>
      <c r="Q31" s="274">
        <f>M31</f>
        <v>0</v>
      </c>
      <c r="R31" s="313">
        <f>M31/D11</f>
        <v>0</v>
      </c>
    </row>
    <row r="32" spans="1:18" ht="20.100000000000001" customHeight="1">
      <c r="A32" s="422" t="s">
        <v>467</v>
      </c>
      <c r="B32" s="423"/>
      <c r="C32" s="86"/>
      <c r="D32" s="90"/>
      <c r="E32" s="87"/>
      <c r="F32" s="330"/>
      <c r="G32" s="329"/>
      <c r="H32" s="330"/>
      <c r="I32" s="329"/>
      <c r="J32" s="330"/>
      <c r="K32" s="329"/>
      <c r="L32" s="329"/>
      <c r="M32" s="329"/>
      <c r="N32" s="377"/>
    </row>
    <row r="33" spans="1:18" ht="20.100000000000001" customHeight="1">
      <c r="A33" s="422"/>
      <c r="B33" s="423"/>
      <c r="C33" s="86"/>
      <c r="D33" s="90"/>
      <c r="E33" s="87"/>
      <c r="F33" s="330"/>
      <c r="G33" s="329"/>
      <c r="H33" s="330"/>
      <c r="I33" s="329"/>
      <c r="J33" s="330"/>
      <c r="K33" s="329"/>
      <c r="L33" s="329"/>
      <c r="M33" s="329"/>
      <c r="N33" s="377"/>
    </row>
    <row r="34" spans="1:18" ht="20.100000000000001" customHeight="1">
      <c r="A34" s="383" t="s">
        <v>468</v>
      </c>
      <c r="B34" s="93"/>
      <c r="C34" s="86"/>
      <c r="D34" s="36">
        <v>1</v>
      </c>
      <c r="E34" s="83" t="s">
        <v>57</v>
      </c>
      <c r="F34" s="329"/>
      <c r="G34" s="329"/>
      <c r="H34" s="329"/>
      <c r="I34" s="329"/>
      <c r="J34" s="335"/>
      <c r="K34" s="335"/>
      <c r="L34" s="329"/>
      <c r="M34" s="340"/>
      <c r="N34" s="377"/>
      <c r="Q34" s="290" t="s">
        <v>27</v>
      </c>
      <c r="R34" s="290" t="s">
        <v>434</v>
      </c>
    </row>
    <row r="35" spans="1:18" ht="20.100000000000001" customHeight="1">
      <c r="A35" s="422" t="s">
        <v>61</v>
      </c>
      <c r="B35" s="423"/>
      <c r="C35" s="86" t="s">
        <v>44</v>
      </c>
      <c r="D35" s="90"/>
      <c r="E35" s="87" t="s">
        <v>44</v>
      </c>
      <c r="F35" s="330"/>
      <c r="G35" s="329"/>
      <c r="H35" s="330"/>
      <c r="I35" s="329"/>
      <c r="J35" s="330"/>
      <c r="K35" s="329"/>
      <c r="L35" s="329"/>
      <c r="M35" s="329"/>
      <c r="N35" s="382"/>
      <c r="Q35" s="274">
        <f>M35</f>
        <v>0</v>
      </c>
      <c r="R35" s="313">
        <f>M35/D9</f>
        <v>0</v>
      </c>
    </row>
    <row r="36" spans="1:18" ht="20.100000000000001" customHeight="1">
      <c r="A36" s="422"/>
      <c r="B36" s="423"/>
      <c r="C36" s="86"/>
      <c r="D36" s="90"/>
      <c r="E36" s="87"/>
      <c r="F36" s="330"/>
      <c r="G36" s="329"/>
      <c r="H36" s="330"/>
      <c r="I36" s="329"/>
      <c r="J36" s="330"/>
      <c r="K36" s="329"/>
      <c r="L36" s="329"/>
      <c r="M36" s="329"/>
      <c r="N36" s="377"/>
    </row>
    <row r="37" spans="1:18" ht="20.100000000000001" customHeight="1">
      <c r="A37" s="427" t="s">
        <v>469</v>
      </c>
      <c r="B37" s="428"/>
      <c r="C37" s="84"/>
      <c r="D37" s="36">
        <v>10</v>
      </c>
      <c r="E37" s="83" t="s">
        <v>62</v>
      </c>
      <c r="F37" s="335"/>
      <c r="G37" s="335"/>
      <c r="H37" s="335"/>
      <c r="I37" s="335"/>
      <c r="J37" s="335"/>
      <c r="K37" s="335"/>
      <c r="L37" s="335"/>
      <c r="M37" s="329"/>
      <c r="N37" s="373"/>
    </row>
    <row r="38" spans="1:18" ht="20.100000000000001" customHeight="1">
      <c r="A38" s="422"/>
      <c r="B38" s="423"/>
      <c r="C38" s="84"/>
      <c r="D38" s="36"/>
      <c r="E38" s="83"/>
      <c r="F38" s="335"/>
      <c r="G38" s="335"/>
      <c r="H38" s="335"/>
      <c r="I38" s="335"/>
      <c r="J38" s="335"/>
      <c r="K38" s="335"/>
      <c r="L38" s="335"/>
      <c r="M38" s="329"/>
      <c r="N38" s="373"/>
      <c r="Q38" s="290" t="s">
        <v>27</v>
      </c>
      <c r="R38" s="290" t="s">
        <v>434</v>
      </c>
    </row>
    <row r="39" spans="1:18" ht="20.100000000000001" customHeight="1" thickBot="1">
      <c r="A39" s="429" t="s">
        <v>63</v>
      </c>
      <c r="B39" s="430"/>
      <c r="C39" s="384" t="s">
        <v>44</v>
      </c>
      <c r="D39" s="385"/>
      <c r="E39" s="385" t="s">
        <v>44</v>
      </c>
      <c r="F39" s="386"/>
      <c r="G39" s="387"/>
      <c r="H39" s="386"/>
      <c r="I39" s="387"/>
      <c r="J39" s="386"/>
      <c r="K39" s="387"/>
      <c r="L39" s="387"/>
      <c r="M39" s="387">
        <v>3060000000</v>
      </c>
      <c r="N39" s="388" t="s">
        <v>44</v>
      </c>
      <c r="Q39" s="274">
        <f>M39</f>
        <v>3060000000</v>
      </c>
      <c r="R39" s="313">
        <f>M39/D9</f>
        <v>1059923.7963283686</v>
      </c>
    </row>
    <row r="40" spans="1:18" ht="22.5" customHeight="1">
      <c r="A40" s="425"/>
      <c r="B40" s="426"/>
      <c r="C40" s="368"/>
      <c r="D40" s="369"/>
      <c r="E40" s="369"/>
      <c r="F40" s="370"/>
      <c r="G40" s="371"/>
      <c r="H40" s="370"/>
      <c r="I40" s="371"/>
      <c r="J40" s="370"/>
      <c r="K40" s="371"/>
      <c r="L40" s="371">
        <f>3500000000-M39</f>
        <v>440000000</v>
      </c>
      <c r="M40" s="371"/>
      <c r="N40" s="372"/>
    </row>
    <row r="41" spans="1:18" ht="18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9"/>
      <c r="M41" s="277"/>
      <c r="Q41" s="354">
        <f>31/36.1</f>
        <v>0.8587257617728532</v>
      </c>
    </row>
    <row r="42" spans="1:18" ht="18" customHeight="1">
      <c r="L42" s="102"/>
      <c r="M42" s="276">
        <f>M39*80%</f>
        <v>2448000000</v>
      </c>
      <c r="N42" s="278"/>
    </row>
    <row r="43" spans="1:18" ht="18" customHeight="1">
      <c r="L43" s="102"/>
      <c r="M43" s="276"/>
    </row>
    <row r="44" spans="1:18">
      <c r="M44" s="276"/>
    </row>
    <row r="48" spans="1:18">
      <c r="C48" s="24"/>
    </row>
    <row r="49" spans="3:3">
      <c r="C49" s="24"/>
    </row>
    <row r="50" spans="3:3">
      <c r="C50" s="24"/>
    </row>
    <row r="51" spans="3:3">
      <c r="C51" s="24"/>
    </row>
    <row r="52" spans="3:3">
      <c r="C52" s="24"/>
    </row>
    <row r="53" spans="3:3">
      <c r="C53" s="24"/>
    </row>
    <row r="54" spans="3:3">
      <c r="C54" s="24"/>
    </row>
    <row r="55" spans="3:3">
      <c r="C55" s="24"/>
    </row>
    <row r="56" spans="3:3">
      <c r="C56" s="24"/>
    </row>
    <row r="58" spans="3:3">
      <c r="C58" s="92"/>
    </row>
  </sheetData>
  <mergeCells count="27">
    <mergeCell ref="A6:B6"/>
    <mergeCell ref="J4:K4"/>
    <mergeCell ref="L4:M4"/>
    <mergeCell ref="N4:N5"/>
    <mergeCell ref="A1:N1"/>
    <mergeCell ref="C4:C5"/>
    <mergeCell ref="D4:D5"/>
    <mergeCell ref="E4:E5"/>
    <mergeCell ref="F4:G4"/>
    <mergeCell ref="H4:I4"/>
    <mergeCell ref="A4:B5"/>
    <mergeCell ref="A8:A11"/>
    <mergeCell ref="A17:B17"/>
    <mergeCell ref="A12:A15"/>
    <mergeCell ref="A20:B20"/>
    <mergeCell ref="A24:B24"/>
    <mergeCell ref="A35:B35"/>
    <mergeCell ref="A36:B36"/>
    <mergeCell ref="A38:B38"/>
    <mergeCell ref="A40:B40"/>
    <mergeCell ref="A37:B37"/>
    <mergeCell ref="A39:B39"/>
    <mergeCell ref="A27:B27"/>
    <mergeCell ref="A28:B28"/>
    <mergeCell ref="A31:B31"/>
    <mergeCell ref="A32:B32"/>
    <mergeCell ref="A33:B33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view="pageBreakPreview" zoomScale="85" zoomScaleNormal="100" zoomScaleSheetLayoutView="85" workbookViewId="0">
      <selection activeCell="C6" sqref="C6"/>
    </sheetView>
  </sheetViews>
  <sheetFormatPr defaultRowHeight="16.5"/>
  <cols>
    <col min="1" max="1" width="65.625" bestFit="1" customWidth="1"/>
    <col min="3" max="6" width="19.125" customWidth="1"/>
    <col min="7" max="7" width="11" customWidth="1"/>
    <col min="10" max="11" width="11.875" bestFit="1" customWidth="1"/>
  </cols>
  <sheetData>
    <row r="1" spans="1:11" ht="33.75">
      <c r="A1" s="419" t="s">
        <v>64</v>
      </c>
      <c r="B1" s="419"/>
      <c r="C1" s="419"/>
      <c r="D1" s="419"/>
      <c r="E1" s="419"/>
      <c r="F1" s="419"/>
      <c r="G1" s="419"/>
    </row>
    <row r="2" spans="1:11">
      <c r="A2" s="94" t="str">
        <f>총괄표지!B3</f>
        <v>2026년 국도 침하 취약구간 GPR탐사 및 통합관리시스템 구축 용역</v>
      </c>
      <c r="B2" s="14"/>
      <c r="C2" s="14"/>
      <c r="D2" s="14"/>
      <c r="E2" s="14"/>
      <c r="F2" s="14"/>
      <c r="G2" s="24"/>
    </row>
    <row r="3" spans="1:11">
      <c r="A3" s="94"/>
      <c r="B3" s="14"/>
      <c r="C3" s="14"/>
      <c r="D3" s="14"/>
      <c r="E3" s="14"/>
      <c r="F3" s="14"/>
      <c r="G3" s="24"/>
    </row>
    <row r="4" spans="1:11" ht="26.25" customHeight="1">
      <c r="A4" s="190" t="s">
        <v>39</v>
      </c>
      <c r="B4" s="190" t="s">
        <v>42</v>
      </c>
      <c r="C4" s="190" t="s">
        <v>43</v>
      </c>
      <c r="D4" s="190" t="s">
        <v>45</v>
      </c>
      <c r="E4" s="190" t="s">
        <v>46</v>
      </c>
      <c r="F4" s="190" t="s">
        <v>47</v>
      </c>
      <c r="G4" s="189" t="s">
        <v>48</v>
      </c>
    </row>
    <row r="5" spans="1:11" ht="26.25" customHeight="1">
      <c r="A5" s="201" t="str">
        <f>일위대가표!A6</f>
        <v>[제1호표] 차량형 GPR 공동탐사  - 자료조사 및 조사계획 수립</v>
      </c>
      <c r="B5" s="15" t="s">
        <v>66</v>
      </c>
      <c r="C5" s="201">
        <f>일위대가표!F11</f>
        <v>0</v>
      </c>
      <c r="D5" s="201">
        <f>일위대가표!H11</f>
        <v>1516449</v>
      </c>
      <c r="E5" s="201">
        <f>일위대가표!J11</f>
        <v>0</v>
      </c>
      <c r="F5" s="201">
        <f>일위대가표!L11</f>
        <v>1516449</v>
      </c>
      <c r="G5" s="341"/>
      <c r="I5">
        <v>1</v>
      </c>
      <c r="J5" s="24">
        <f>I5*F5</f>
        <v>1516449</v>
      </c>
      <c r="K5" s="24"/>
    </row>
    <row r="6" spans="1:11" ht="26.25" customHeight="1">
      <c r="A6" s="201" t="str">
        <f>일위대가표!A13</f>
        <v>[제2호표] 차량형 GPR 공동탐사 - 1차 조사,  km당(조사대상 선정 포함)</v>
      </c>
      <c r="B6" s="15" t="s">
        <v>14</v>
      </c>
      <c r="C6" s="201">
        <f>일위대가표!F22</f>
        <v>3944</v>
      </c>
      <c r="D6" s="201">
        <f>일위대가표!H22</f>
        <v>68602</v>
      </c>
      <c r="E6" s="201">
        <f>일위대가표!J22</f>
        <v>54053</v>
      </c>
      <c r="F6" s="201">
        <f>일위대가표!L22</f>
        <v>126599</v>
      </c>
      <c r="G6" s="341"/>
      <c r="I6">
        <v>50</v>
      </c>
      <c r="J6" s="24">
        <f t="shared" ref="J6:J8" si="0">I6*F6</f>
        <v>6329950</v>
      </c>
      <c r="K6" s="24"/>
    </row>
    <row r="7" spans="1:11" ht="26.25" customHeight="1">
      <c r="A7" s="201" t="str">
        <f>일위대가표!A24</f>
        <v>[제3호표] 차량형 GPR 공동탐사 - 탐사자료 분석,  km당</v>
      </c>
      <c r="B7" s="15" t="s">
        <v>14</v>
      </c>
      <c r="C7" s="201">
        <f>일위대가표!F29</f>
        <v>0</v>
      </c>
      <c r="D7" s="201">
        <f>일위대가표!H29</f>
        <v>193729</v>
      </c>
      <c r="E7" s="201">
        <f>일위대가표!J29</f>
        <v>0</v>
      </c>
      <c r="F7" s="201">
        <f>일위대가표!L29</f>
        <v>193729</v>
      </c>
      <c r="G7" s="341"/>
      <c r="I7">
        <v>50</v>
      </c>
      <c r="J7" s="24">
        <f t="shared" si="0"/>
        <v>9686450</v>
      </c>
      <c r="K7" s="24"/>
    </row>
    <row r="8" spans="1:11" ht="26.25" customHeight="1">
      <c r="A8" s="201" t="str">
        <f>일위대가표!A31</f>
        <v>[제4호표] 차량형 GPR 공동탐사 - 분석 공동조사서 작성</v>
      </c>
      <c r="B8" s="15" t="s">
        <v>66</v>
      </c>
      <c r="C8" s="201">
        <f>일위대가표!F36</f>
        <v>0</v>
      </c>
      <c r="D8" s="201">
        <f>일위대가표!H36</f>
        <v>147569</v>
      </c>
      <c r="E8" s="201">
        <f>일위대가표!J36</f>
        <v>0</v>
      </c>
      <c r="F8" s="201">
        <f>일위대가표!L36</f>
        <v>147569</v>
      </c>
      <c r="G8" s="341"/>
      <c r="I8">
        <v>1</v>
      </c>
      <c r="J8" s="24">
        <f t="shared" si="0"/>
        <v>147569</v>
      </c>
      <c r="K8" s="24"/>
    </row>
    <row r="9" spans="1:11" ht="26.25" customHeight="1">
      <c r="A9" s="201" t="str">
        <f>일위대가표!A38</f>
        <v>[제5호표] 공동확인조사 - 사전조사 및 계획수립</v>
      </c>
      <c r="B9" s="15" t="s">
        <v>66</v>
      </c>
      <c r="C9" s="201">
        <f>일위대가표!F43</f>
        <v>0</v>
      </c>
      <c r="D9" s="201">
        <f>일위대가표!H43</f>
        <v>59027</v>
      </c>
      <c r="E9" s="201">
        <f>일위대가표!J43</f>
        <v>0</v>
      </c>
      <c r="F9" s="201">
        <f>일위대가표!L43</f>
        <v>59027</v>
      </c>
      <c r="G9" s="202"/>
      <c r="J9" s="24">
        <f>SUM(J5:J8)</f>
        <v>17680418</v>
      </c>
      <c r="K9" s="24">
        <f>J9/I6</f>
        <v>353608.36</v>
      </c>
    </row>
    <row r="10" spans="1:11" ht="26.25" customHeight="1">
      <c r="A10" s="201" t="str">
        <f>일위대가표!A45</f>
        <v>[제6호표] 공동확인조사 - GPR 공동조사 : 2차 조사,  개소당</v>
      </c>
      <c r="B10" s="15" t="s">
        <v>65</v>
      </c>
      <c r="C10" s="201">
        <f>일위대가표!F55</f>
        <v>1680</v>
      </c>
      <c r="D10" s="201">
        <f>일위대가표!H55</f>
        <v>342118</v>
      </c>
      <c r="E10" s="201">
        <f>일위대가표!J55</f>
        <v>20324</v>
      </c>
      <c r="F10" s="201">
        <f>일위대가표!L55</f>
        <v>364122</v>
      </c>
      <c r="G10" s="202"/>
    </row>
    <row r="11" spans="1:11" ht="26.25" customHeight="1">
      <c r="A11" s="201" t="str">
        <f>일위대가표!A57</f>
        <v>[제7호표] 공동확인조사 - 천공 및 내시경 조사,  개소당</v>
      </c>
      <c r="B11" s="15" t="s">
        <v>65</v>
      </c>
      <c r="C11" s="201">
        <f>일위대가표!F70</f>
        <v>4362</v>
      </c>
      <c r="D11" s="201">
        <f>일위대가표!H70</f>
        <v>420740</v>
      </c>
      <c r="E11" s="201">
        <f>일위대가표!J70</f>
        <v>96804</v>
      </c>
      <c r="F11" s="201">
        <f>일위대가표!L70</f>
        <v>521906</v>
      </c>
      <c r="G11" s="202"/>
    </row>
    <row r="12" spans="1:11" ht="26.25" customHeight="1">
      <c r="A12" s="201" t="str">
        <f>일위대가표!A72</f>
        <v>[제8호표] 공동확인조사 - 공동조사서 작성</v>
      </c>
      <c r="B12" s="15" t="s">
        <v>66</v>
      </c>
      <c r="C12" s="201">
        <f>일위대가표!F77</f>
        <v>0</v>
      </c>
      <c r="D12" s="201">
        <f>일위대가표!H77</f>
        <v>147569</v>
      </c>
      <c r="E12" s="201">
        <f>일위대가표!J77</f>
        <v>0</v>
      </c>
      <c r="F12" s="201">
        <f>일위대가표!L77</f>
        <v>147569</v>
      </c>
      <c r="G12" s="202"/>
    </row>
    <row r="13" spans="1:11" ht="26.25" customHeight="1">
      <c r="A13" s="201" t="str">
        <f>일위대가표!A79</f>
        <v>[제9호표] 보고서 작성 - 공동조사 보고서 작성</v>
      </c>
      <c r="B13" s="15" t="s">
        <v>66</v>
      </c>
      <c r="C13" s="201">
        <f>일위대가표!F84</f>
        <v>0</v>
      </c>
      <c r="D13" s="201">
        <f>일위대가표!H84</f>
        <v>607416</v>
      </c>
      <c r="E13" s="201">
        <f>일위대가표!J84</f>
        <v>0</v>
      </c>
      <c r="F13" s="201">
        <f>일위대가표!L84</f>
        <v>607416</v>
      </c>
      <c r="G13" s="202"/>
    </row>
    <row r="14" spans="1:11" ht="26.25" customHeight="1">
      <c r="A14" s="201" t="str">
        <f>일위대가표!A86</f>
        <v>[제10호표] 성과품 인쇄 및 데이터 백업</v>
      </c>
      <c r="B14" s="15" t="s">
        <v>66</v>
      </c>
      <c r="C14" s="201">
        <f>일위대가표!F91</f>
        <v>0</v>
      </c>
      <c r="D14" s="201">
        <f>일위대가표!H91</f>
        <v>0</v>
      </c>
      <c r="E14" s="201">
        <f>일위대가표!J91</f>
        <v>520500</v>
      </c>
      <c r="F14" s="201">
        <f>일위대가표!L91</f>
        <v>520500</v>
      </c>
      <c r="G14" s="202"/>
    </row>
    <row r="15" spans="1:11" ht="26.25" customHeight="1">
      <c r="A15" s="201" t="str">
        <f>일위대가표!A93</f>
        <v>[제11호표] 공동 신속복구, 개소당</v>
      </c>
      <c r="B15" s="15" t="s">
        <v>65</v>
      </c>
      <c r="C15" s="201">
        <f>일위대가표!F98</f>
        <v>49952</v>
      </c>
      <c r="D15" s="201">
        <f>일위대가표!H98</f>
        <v>21508</v>
      </c>
      <c r="E15" s="201">
        <f>일위대가표!J98</f>
        <v>430</v>
      </c>
      <c r="F15" s="201">
        <f>일위대가표!L98</f>
        <v>71890</v>
      </c>
      <c r="G15" s="202"/>
    </row>
    <row r="16" spans="1:11" ht="26.25" customHeight="1">
      <c r="A16" s="201" t="str">
        <f>일위대가표!A100</f>
        <v>[제12호표] 안전시설, 개소당</v>
      </c>
      <c r="B16" s="15" t="s">
        <v>65</v>
      </c>
      <c r="C16" s="201">
        <f>일위대가표!F105</f>
        <v>12710</v>
      </c>
      <c r="D16" s="201">
        <f>일위대가표!H105</f>
        <v>184992</v>
      </c>
      <c r="E16" s="201">
        <f>일위대가표!J105</f>
        <v>22337</v>
      </c>
      <c r="F16" s="201">
        <f>일위대가표!L105</f>
        <v>220039</v>
      </c>
      <c r="G16" s="202"/>
    </row>
    <row r="17" spans="1:11" ht="26.25" customHeight="1">
      <c r="A17" s="342" t="str">
        <f>일위대가표!A107</f>
        <v>[제13호표] 멀티형 GPR 공동탐사  - 자료조사 및 조사계획 수립</v>
      </c>
      <c r="B17" s="343" t="s">
        <v>66</v>
      </c>
      <c r="C17" s="342">
        <f>일위대가표!F112</f>
        <v>0</v>
      </c>
      <c r="D17" s="342">
        <f>일위대가표!H112</f>
        <v>3192462</v>
      </c>
      <c r="E17" s="342">
        <f>일위대가표!J112</f>
        <v>0</v>
      </c>
      <c r="F17" s="342">
        <f>일위대가표!L112</f>
        <v>3192462</v>
      </c>
      <c r="G17" s="270"/>
      <c r="I17">
        <v>1</v>
      </c>
      <c r="J17" s="24">
        <f>I17*F17</f>
        <v>3192462</v>
      </c>
      <c r="K17" s="24"/>
    </row>
    <row r="18" spans="1:11" ht="26.25" customHeight="1">
      <c r="A18" s="342" t="str">
        <f>일위대가표!A114</f>
        <v>[제14호표] 멀티형 GPR 공동탐사 - 1차 조사,  km당</v>
      </c>
      <c r="B18" s="343" t="s">
        <v>14</v>
      </c>
      <c r="C18" s="342">
        <f>일위대가표!F121</f>
        <v>0</v>
      </c>
      <c r="D18" s="342">
        <f>일위대가표!H121</f>
        <v>433791</v>
      </c>
      <c r="E18" s="342">
        <f>일위대가표!J121</f>
        <v>696400</v>
      </c>
      <c r="F18" s="342">
        <f>일위대가표!L121</f>
        <v>1130191</v>
      </c>
      <c r="G18" s="270"/>
      <c r="I18">
        <v>50</v>
      </c>
      <c r="J18" s="24">
        <f t="shared" ref="J18:J20" si="1">I18*F18</f>
        <v>56509550</v>
      </c>
      <c r="K18" s="24"/>
    </row>
    <row r="19" spans="1:11" ht="26.25" customHeight="1">
      <c r="A19" s="342" t="str">
        <f>일위대가표!A123</f>
        <v>[제15호표] 멀티형 GPR 공동탐사 - 탐사자료 분석,  km당</v>
      </c>
      <c r="B19" s="343" t="s">
        <v>14</v>
      </c>
      <c r="C19" s="342">
        <f>일위대가표!F128</f>
        <v>0</v>
      </c>
      <c r="D19" s="342">
        <f>일위대가표!H128</f>
        <v>249079</v>
      </c>
      <c r="E19" s="342">
        <f>일위대가표!J128</f>
        <v>0</v>
      </c>
      <c r="F19" s="342">
        <f>일위대가표!L128</f>
        <v>249079</v>
      </c>
      <c r="G19" s="270"/>
      <c r="I19">
        <v>50</v>
      </c>
      <c r="J19" s="24">
        <f t="shared" si="1"/>
        <v>12453950</v>
      </c>
      <c r="K19" s="24"/>
    </row>
    <row r="20" spans="1:11" ht="26.25" customHeight="1">
      <c r="A20" s="342" t="str">
        <f>일위대가표!A130</f>
        <v>[제16호표] 멀티형 GPR 공동탐사 - 분석 공동조사서 작성</v>
      </c>
      <c r="B20" s="343" t="s">
        <v>66</v>
      </c>
      <c r="C20" s="342">
        <f>일위대가표!F135</f>
        <v>0</v>
      </c>
      <c r="D20" s="342">
        <f>일위대가표!H135</f>
        <v>1892296</v>
      </c>
      <c r="E20" s="342">
        <f>일위대가표!J135</f>
        <v>0</v>
      </c>
      <c r="F20" s="342">
        <f>일위대가표!L135</f>
        <v>1892296</v>
      </c>
      <c r="G20" s="270"/>
      <c r="I20">
        <v>1</v>
      </c>
      <c r="J20" s="24">
        <f t="shared" si="1"/>
        <v>1892296</v>
      </c>
      <c r="K20" s="24"/>
    </row>
    <row r="21" spans="1:11" ht="26.25" customHeight="1">
      <c r="A21" s="201" t="str">
        <f>일위대가표!A18</f>
        <v>경유</v>
      </c>
      <c r="B21" s="15" t="s">
        <v>66</v>
      </c>
      <c r="C21" s="201">
        <f>일위대가표!F23</f>
        <v>0</v>
      </c>
      <c r="D21" s="201">
        <f>일위대가표!H23</f>
        <v>0</v>
      </c>
      <c r="E21" s="201">
        <f>일위대가표!J23</f>
        <v>0</v>
      </c>
      <c r="F21" s="201">
        <f>일위대가표!L23</f>
        <v>0</v>
      </c>
      <c r="G21" s="202"/>
      <c r="J21" s="24">
        <f>SUM(J17:J20)</f>
        <v>74048258</v>
      </c>
      <c r="K21" s="24">
        <f>J21/I18</f>
        <v>1480965.16</v>
      </c>
    </row>
    <row r="22" spans="1:11" ht="26.25" customHeight="1">
      <c r="A22" s="201" t="str">
        <f>일위대가표!A25</f>
        <v>특급기술자</v>
      </c>
      <c r="B22" s="15" t="s">
        <v>14</v>
      </c>
      <c r="C22" s="201">
        <f>일위대가표!F34</f>
        <v>0</v>
      </c>
      <c r="D22" s="201">
        <f>일위대가표!H34</f>
        <v>147569</v>
      </c>
      <c r="E22" s="201">
        <f>일위대가표!J34</f>
        <v>0</v>
      </c>
      <c r="F22" s="201">
        <f>일위대가표!L34</f>
        <v>147569</v>
      </c>
      <c r="G22" s="202"/>
    </row>
    <row r="23" spans="1:11" ht="26.25" customHeight="1">
      <c r="A23" s="201" t="str">
        <f>일위대가표!A36</f>
        <v>소 계</v>
      </c>
      <c r="B23" s="15" t="s">
        <v>14</v>
      </c>
      <c r="C23" s="201">
        <f>일위대가표!F41</f>
        <v>0</v>
      </c>
      <c r="D23" s="201">
        <f>일위대가표!H41</f>
        <v>59027</v>
      </c>
      <c r="E23" s="201">
        <f>일위대가표!J41</f>
        <v>0</v>
      </c>
      <c r="F23" s="201">
        <f>일위대가표!L41</f>
        <v>59027</v>
      </c>
      <c r="G23" s="202"/>
    </row>
    <row r="24" spans="1:11" ht="26.25" customHeight="1">
      <c r="A24" s="201" t="str">
        <f>일위대가표!A43</f>
        <v>소 계</v>
      </c>
      <c r="B24" s="15" t="s">
        <v>66</v>
      </c>
      <c r="C24" s="201">
        <f>일위대가표!F48</f>
        <v>0</v>
      </c>
      <c r="D24" s="201">
        <f>일위대가표!H48</f>
        <v>0</v>
      </c>
      <c r="E24" s="201">
        <f>일위대가표!J48</f>
        <v>0</v>
      </c>
      <c r="F24" s="201">
        <f>일위대가표!L48</f>
        <v>0</v>
      </c>
      <c r="G24" s="202"/>
    </row>
    <row r="25" spans="1:11" ht="26.25" customHeight="1"/>
    <row r="26" spans="1:11" ht="26.25" customHeight="1"/>
  </sheetData>
  <mergeCells count="1">
    <mergeCell ref="A1:G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view="pageBreakPreview" zoomScaleNormal="100" zoomScaleSheetLayoutView="100" workbookViewId="0">
      <pane ySplit="5" topLeftCell="A6" activePane="bottomLeft" state="frozen"/>
      <selection activeCell="C6" sqref="C6"/>
      <selection pane="bottomLeft" activeCell="C6" sqref="C6"/>
    </sheetView>
  </sheetViews>
  <sheetFormatPr defaultRowHeight="22.5" customHeight="1"/>
  <cols>
    <col min="1" max="1" width="18.625" style="40" bestFit="1" customWidth="1"/>
    <col min="2" max="2" width="17.875" style="40" bestFit="1" customWidth="1"/>
    <col min="3" max="3" width="6.875" style="33" bestFit="1" customWidth="1"/>
    <col min="4" max="4" width="8.375" style="33" bestFit="1" customWidth="1"/>
    <col min="5" max="6" width="9.75" style="33" bestFit="1" customWidth="1"/>
    <col min="7" max="7" width="13.125" style="33" bestFit="1" customWidth="1"/>
    <col min="8" max="8" width="14.625" style="33" bestFit="1" customWidth="1"/>
    <col min="9" max="9" width="13.125" style="33" bestFit="1" customWidth="1"/>
    <col min="10" max="10" width="14.625" style="33" bestFit="1" customWidth="1"/>
    <col min="11" max="11" width="13.125" style="33" bestFit="1" customWidth="1"/>
    <col min="12" max="12" width="16.125" style="33" bestFit="1" customWidth="1"/>
    <col min="13" max="13" width="19.625" style="47" customWidth="1"/>
    <col min="14" max="16384" width="9" style="33"/>
  </cols>
  <sheetData>
    <row r="1" spans="1:13" ht="22.5" customHeight="1">
      <c r="A1" s="94" t="str">
        <f>총괄표지!B3</f>
        <v>2026년 국도 침하 취약구간 GPR탐사 및 통합관리시스템 구축 용역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91"/>
      <c r="M1" s="24"/>
    </row>
    <row r="2" spans="1:13" ht="38.25" customHeight="1">
      <c r="A2" s="419" t="s">
        <v>67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3" spans="1:13" ht="16.5" customHeight="1">
      <c r="A3" s="94"/>
      <c r="B3" s="14"/>
      <c r="C3" s="14"/>
      <c r="D3" s="14"/>
      <c r="E3" s="14"/>
      <c r="F3" s="14"/>
      <c r="G3" s="14"/>
      <c r="H3" s="14"/>
      <c r="I3" s="14"/>
      <c r="J3" s="14"/>
      <c r="K3" s="14"/>
      <c r="L3" s="91"/>
      <c r="M3" s="24"/>
    </row>
    <row r="4" spans="1:13" ht="21" customHeight="1">
      <c r="A4" s="455" t="s">
        <v>39</v>
      </c>
      <c r="B4" s="457" t="s">
        <v>40</v>
      </c>
      <c r="C4" s="455" t="s">
        <v>41</v>
      </c>
      <c r="D4" s="455" t="s">
        <v>42</v>
      </c>
      <c r="E4" s="455" t="s">
        <v>43</v>
      </c>
      <c r="F4" s="455" t="s">
        <v>44</v>
      </c>
      <c r="G4" s="455" t="s">
        <v>45</v>
      </c>
      <c r="H4" s="455" t="s">
        <v>44</v>
      </c>
      <c r="I4" s="455" t="s">
        <v>46</v>
      </c>
      <c r="J4" s="455" t="s">
        <v>44</v>
      </c>
      <c r="K4" s="455" t="s">
        <v>47</v>
      </c>
      <c r="L4" s="455" t="s">
        <v>44</v>
      </c>
      <c r="M4" s="456" t="s">
        <v>48</v>
      </c>
    </row>
    <row r="5" spans="1:13" ht="21" customHeight="1">
      <c r="A5" s="455" t="s">
        <v>44</v>
      </c>
      <c r="B5" s="457" t="s">
        <v>44</v>
      </c>
      <c r="C5" s="455" t="s">
        <v>44</v>
      </c>
      <c r="D5" s="455" t="s">
        <v>44</v>
      </c>
      <c r="E5" s="190" t="s">
        <v>49</v>
      </c>
      <c r="F5" s="190" t="s">
        <v>50</v>
      </c>
      <c r="G5" s="190" t="s">
        <v>49</v>
      </c>
      <c r="H5" s="190" t="s">
        <v>50</v>
      </c>
      <c r="I5" s="190" t="s">
        <v>49</v>
      </c>
      <c r="J5" s="190" t="s">
        <v>50</v>
      </c>
      <c r="K5" s="190" t="s">
        <v>49</v>
      </c>
      <c r="L5" s="190" t="s">
        <v>50</v>
      </c>
      <c r="M5" s="456" t="s">
        <v>44</v>
      </c>
    </row>
    <row r="6" spans="1:13" ht="21" customHeight="1">
      <c r="A6" s="446" t="s">
        <v>288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8"/>
    </row>
    <row r="7" spans="1:13" ht="21" customHeight="1">
      <c r="A7" s="34" t="s">
        <v>69</v>
      </c>
      <c r="B7" s="35"/>
      <c r="C7" s="99">
        <f>산출근거!F17</f>
        <v>0.5</v>
      </c>
      <c r="D7" s="36" t="s">
        <v>68</v>
      </c>
      <c r="E7" s="89"/>
      <c r="F7" s="89"/>
      <c r="G7" s="89">
        <f>엔지니어링임금실태조사표!$K$7</f>
        <v>373353</v>
      </c>
      <c r="H7" s="89">
        <f>TRUNC(G7*C7)</f>
        <v>186676</v>
      </c>
      <c r="I7" s="89"/>
      <c r="J7" s="89"/>
      <c r="K7" s="89">
        <f t="shared" ref="K7:L9" si="0">G7+I7+E7</f>
        <v>373353</v>
      </c>
      <c r="L7" s="89">
        <f t="shared" si="0"/>
        <v>186676</v>
      </c>
      <c r="M7" s="45" t="s">
        <v>322</v>
      </c>
    </row>
    <row r="8" spans="1:13" ht="21" customHeight="1">
      <c r="A8" s="34" t="s">
        <v>70</v>
      </c>
      <c r="B8" s="35"/>
      <c r="C8" s="99">
        <f>산출근거!G17</f>
        <v>2</v>
      </c>
      <c r="D8" s="36" t="s">
        <v>68</v>
      </c>
      <c r="E8" s="89"/>
      <c r="F8" s="89"/>
      <c r="G8" s="89">
        <f>엔지니어링임금실태조사표!$K$8</f>
        <v>310884</v>
      </c>
      <c r="H8" s="89">
        <f>TRUNC(G8*C8)</f>
        <v>621768</v>
      </c>
      <c r="I8" s="89"/>
      <c r="J8" s="89"/>
      <c r="K8" s="89">
        <f t="shared" si="0"/>
        <v>310884</v>
      </c>
      <c r="L8" s="89">
        <f t="shared" si="0"/>
        <v>621768</v>
      </c>
      <c r="M8" s="45" t="s">
        <v>322</v>
      </c>
    </row>
    <row r="9" spans="1:13" ht="21" customHeight="1">
      <c r="A9" s="34" t="s">
        <v>71</v>
      </c>
      <c r="B9" s="35"/>
      <c r="C9" s="99">
        <f>산출근거!$H$17</f>
        <v>2</v>
      </c>
      <c r="D9" s="36" t="s">
        <v>68</v>
      </c>
      <c r="E9" s="89"/>
      <c r="F9" s="89"/>
      <c r="G9" s="89">
        <f>엔지니어링임금실태조사표!$K$9</f>
        <v>295138</v>
      </c>
      <c r="H9" s="89">
        <f>TRUNC(G9*C9)</f>
        <v>590276</v>
      </c>
      <c r="I9" s="89"/>
      <c r="J9" s="89"/>
      <c r="K9" s="89">
        <f t="shared" si="0"/>
        <v>295138</v>
      </c>
      <c r="L9" s="89">
        <f t="shared" si="0"/>
        <v>590276</v>
      </c>
      <c r="M9" s="45" t="s">
        <v>322</v>
      </c>
    </row>
    <row r="10" spans="1:13" ht="21" customHeight="1">
      <c r="A10" s="34" t="s">
        <v>289</v>
      </c>
      <c r="B10" s="35"/>
      <c r="C10" s="99">
        <f>산출근거!I17</f>
        <v>0.5</v>
      </c>
      <c r="D10" s="36" t="s">
        <v>290</v>
      </c>
      <c r="E10" s="89"/>
      <c r="F10" s="89"/>
      <c r="G10" s="89">
        <f>엔지니어링임금실태조사표!$K$10</f>
        <v>235459</v>
      </c>
      <c r="H10" s="89">
        <f>TRUNC(G10*C10)</f>
        <v>117729</v>
      </c>
      <c r="I10" s="89"/>
      <c r="J10" s="89"/>
      <c r="K10" s="89">
        <f t="shared" ref="K10" si="1">G10+I10+E10</f>
        <v>235459</v>
      </c>
      <c r="L10" s="89">
        <f t="shared" ref="L10" si="2">H10+J10+F10</f>
        <v>117729</v>
      </c>
      <c r="M10" s="45" t="s">
        <v>322</v>
      </c>
    </row>
    <row r="11" spans="1:13" ht="21" customHeight="1">
      <c r="A11" s="237" t="s">
        <v>72</v>
      </c>
      <c r="B11" s="238"/>
      <c r="C11" s="96"/>
      <c r="D11" s="96"/>
      <c r="E11" s="96"/>
      <c r="F11" s="96">
        <f>SUM(F7:F10)</f>
        <v>0</v>
      </c>
      <c r="G11" s="96"/>
      <c r="H11" s="96">
        <f>SUM(H7:H10)</f>
        <v>1516449</v>
      </c>
      <c r="I11" s="96"/>
      <c r="J11" s="96">
        <f>SUM(J7:J10)</f>
        <v>0</v>
      </c>
      <c r="K11" s="96"/>
      <c r="L11" s="96">
        <f>F11+H11+J11</f>
        <v>1516449</v>
      </c>
      <c r="M11" s="239"/>
    </row>
    <row r="12" spans="1:13" ht="21" customHeight="1">
      <c r="A12" s="240"/>
      <c r="B12" s="240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236"/>
    </row>
    <row r="13" spans="1:13" ht="21" customHeight="1">
      <c r="A13" s="443" t="s">
        <v>481</v>
      </c>
      <c r="B13" s="444"/>
      <c r="C13" s="444"/>
      <c r="D13" s="444"/>
      <c r="E13" s="444"/>
      <c r="F13" s="444"/>
      <c r="G13" s="444"/>
      <c r="H13" s="444"/>
      <c r="I13" s="444"/>
      <c r="J13" s="444"/>
      <c r="K13" s="444"/>
      <c r="L13" s="444"/>
      <c r="M13" s="445"/>
    </row>
    <row r="14" spans="1:13" ht="21" customHeight="1">
      <c r="A14" s="241" t="s">
        <v>69</v>
      </c>
      <c r="B14" s="240"/>
      <c r="C14" s="99">
        <f>산출근거!F18</f>
        <v>0</v>
      </c>
      <c r="D14" s="242" t="s">
        <v>73</v>
      </c>
      <c r="E14" s="95"/>
      <c r="F14" s="95"/>
      <c r="G14" s="89">
        <f>엔지니어링임금실태조사표!$K$7</f>
        <v>373353</v>
      </c>
      <c r="H14" s="95">
        <f>TRUNC(G14*C14)</f>
        <v>0</v>
      </c>
      <c r="I14" s="95"/>
      <c r="J14" s="95"/>
      <c r="K14" s="95">
        <f>I14+G14+E14</f>
        <v>373353</v>
      </c>
      <c r="L14" s="95">
        <f>J14+H14+F14</f>
        <v>0</v>
      </c>
      <c r="M14" s="239" t="s">
        <v>323</v>
      </c>
    </row>
    <row r="15" spans="1:13" ht="21" customHeight="1">
      <c r="A15" s="241" t="s">
        <v>70</v>
      </c>
      <c r="B15" s="240"/>
      <c r="C15" s="99">
        <f>산출근거!G18</f>
        <v>0.05</v>
      </c>
      <c r="D15" s="242" t="s">
        <v>73</v>
      </c>
      <c r="E15" s="95"/>
      <c r="F15" s="95"/>
      <c r="G15" s="89">
        <f>엔지니어링임금실태조사표!$K$8</f>
        <v>310884</v>
      </c>
      <c r="H15" s="95">
        <f>TRUNC(G15*C15)</f>
        <v>15544</v>
      </c>
      <c r="I15" s="95"/>
      <c r="J15" s="95"/>
      <c r="K15" s="95">
        <f>I15+G15+E15</f>
        <v>310884</v>
      </c>
      <c r="L15" s="95">
        <f>J15+H15+F15</f>
        <v>15544</v>
      </c>
      <c r="M15" s="239" t="s">
        <v>323</v>
      </c>
    </row>
    <row r="16" spans="1:13" ht="21" customHeight="1">
      <c r="A16" s="241" t="s">
        <v>71</v>
      </c>
      <c r="B16" s="240"/>
      <c r="C16" s="99">
        <f>산출근거!H18</f>
        <v>0.1</v>
      </c>
      <c r="D16" s="242" t="s">
        <v>74</v>
      </c>
      <c r="E16" s="95"/>
      <c r="F16" s="95"/>
      <c r="G16" s="89">
        <f>엔지니어링임금실태조사표!$K$9</f>
        <v>295138</v>
      </c>
      <c r="H16" s="95">
        <f>TRUNC(G16*C16)</f>
        <v>29513</v>
      </c>
      <c r="I16" s="95"/>
      <c r="J16" s="95"/>
      <c r="K16" s="95">
        <f t="shared" ref="K16:L21" si="3">I16+G16+E16</f>
        <v>295138</v>
      </c>
      <c r="L16" s="95">
        <f t="shared" si="3"/>
        <v>29513</v>
      </c>
      <c r="M16" s="239" t="s">
        <v>323</v>
      </c>
    </row>
    <row r="17" spans="1:13" ht="21" customHeight="1">
      <c r="A17" s="241" t="s">
        <v>75</v>
      </c>
      <c r="B17" s="240"/>
      <c r="C17" s="99">
        <f>산출근거!I18</f>
        <v>0.1</v>
      </c>
      <c r="D17" s="242" t="s">
        <v>74</v>
      </c>
      <c r="E17" s="95"/>
      <c r="F17" s="95"/>
      <c r="G17" s="89">
        <f>엔지니어링임금실태조사표!$K$10</f>
        <v>235459</v>
      </c>
      <c r="H17" s="95">
        <f>TRUNC(G17*C17)</f>
        <v>23545</v>
      </c>
      <c r="I17" s="95"/>
      <c r="J17" s="95"/>
      <c r="K17" s="95">
        <f t="shared" si="3"/>
        <v>235459</v>
      </c>
      <c r="L17" s="95">
        <f t="shared" si="3"/>
        <v>23545</v>
      </c>
      <c r="M17" s="239" t="s">
        <v>323</v>
      </c>
    </row>
    <row r="18" spans="1:13" ht="21" customHeight="1">
      <c r="A18" s="241" t="s">
        <v>76</v>
      </c>
      <c r="B18" s="241"/>
      <c r="C18" s="243">
        <v>1.8</v>
      </c>
      <c r="D18" s="242" t="s">
        <v>77</v>
      </c>
      <c r="E18" s="95">
        <f>재료비!$G$6</f>
        <v>1588</v>
      </c>
      <c r="F18" s="95">
        <f>TRUNC(E18*C18)</f>
        <v>2858</v>
      </c>
      <c r="G18" s="95"/>
      <c r="H18" s="95"/>
      <c r="I18" s="95"/>
      <c r="J18" s="95"/>
      <c r="K18" s="95">
        <f t="shared" si="3"/>
        <v>1588</v>
      </c>
      <c r="L18" s="95">
        <f t="shared" si="3"/>
        <v>2858</v>
      </c>
      <c r="M18" s="239" t="s">
        <v>78</v>
      </c>
    </row>
    <row r="19" spans="1:13" ht="21" customHeight="1">
      <c r="A19" s="241" t="s">
        <v>79</v>
      </c>
      <c r="B19" s="241" t="s">
        <v>80</v>
      </c>
      <c r="C19" s="244">
        <v>38</v>
      </c>
      <c r="D19" s="242" t="s">
        <v>81</v>
      </c>
      <c r="E19" s="95">
        <f>F18</f>
        <v>2858</v>
      </c>
      <c r="F19" s="95">
        <f>TRUNC(E19*C19/100)</f>
        <v>1086</v>
      </c>
      <c r="G19" s="95"/>
      <c r="H19" s="95"/>
      <c r="I19" s="95"/>
      <c r="J19" s="95"/>
      <c r="K19" s="95">
        <f t="shared" si="3"/>
        <v>2858</v>
      </c>
      <c r="L19" s="95">
        <f t="shared" si="3"/>
        <v>1086</v>
      </c>
      <c r="M19" s="239" t="s">
        <v>78</v>
      </c>
    </row>
    <row r="20" spans="1:13" ht="21" customHeight="1">
      <c r="A20" s="241" t="s">
        <v>82</v>
      </c>
      <c r="B20" s="241" t="s">
        <v>83</v>
      </c>
      <c r="C20" s="243">
        <v>0.4</v>
      </c>
      <c r="D20" s="242" t="s">
        <v>97</v>
      </c>
      <c r="E20" s="95"/>
      <c r="F20" s="95"/>
      <c r="G20" s="95"/>
      <c r="H20" s="95"/>
      <c r="I20" s="95">
        <f>기계경비1!G5</f>
        <v>124204</v>
      </c>
      <c r="J20" s="95">
        <f>TRUNC(I20*C20)</f>
        <v>49681</v>
      </c>
      <c r="K20" s="95">
        <f t="shared" si="3"/>
        <v>124204</v>
      </c>
      <c r="L20" s="95">
        <f t="shared" si="3"/>
        <v>49681</v>
      </c>
      <c r="M20" s="239" t="s">
        <v>78</v>
      </c>
    </row>
    <row r="21" spans="1:13" ht="21" customHeight="1">
      <c r="A21" s="241" t="s">
        <v>84</v>
      </c>
      <c r="B21" s="241"/>
      <c r="C21" s="243">
        <v>0.6</v>
      </c>
      <c r="D21" s="242" t="s">
        <v>97</v>
      </c>
      <c r="E21" s="95"/>
      <c r="F21" s="95"/>
      <c r="G21" s="95"/>
      <c r="H21" s="95"/>
      <c r="I21" s="95">
        <f>기계경비1!G8</f>
        <v>7288</v>
      </c>
      <c r="J21" s="95">
        <f>TRUNC(I21*C21)</f>
        <v>4372</v>
      </c>
      <c r="K21" s="95">
        <f t="shared" si="3"/>
        <v>7288</v>
      </c>
      <c r="L21" s="95">
        <f t="shared" si="3"/>
        <v>4372</v>
      </c>
      <c r="M21" s="239" t="s">
        <v>78</v>
      </c>
    </row>
    <row r="22" spans="1:13" ht="21" customHeight="1">
      <c r="A22" s="237" t="s">
        <v>72</v>
      </c>
      <c r="B22" s="238"/>
      <c r="C22" s="96"/>
      <c r="D22" s="96"/>
      <c r="E22" s="96"/>
      <c r="F22" s="96">
        <f>SUM(F14:F21)</f>
        <v>3944</v>
      </c>
      <c r="G22" s="96"/>
      <c r="H22" s="96">
        <f>SUM(H14:H21)</f>
        <v>68602</v>
      </c>
      <c r="I22" s="96"/>
      <c r="J22" s="96">
        <f>SUM(J14:J21)</f>
        <v>54053</v>
      </c>
      <c r="K22" s="96"/>
      <c r="L22" s="96">
        <f>J22+H22+F22</f>
        <v>126599</v>
      </c>
      <c r="M22" s="239" t="s">
        <v>44</v>
      </c>
    </row>
    <row r="23" spans="1:13" ht="21" customHeight="1">
      <c r="A23" s="245"/>
      <c r="B23" s="245"/>
      <c r="C23" s="97"/>
      <c r="D23" s="97"/>
      <c r="E23" s="98"/>
      <c r="F23" s="98"/>
      <c r="G23" s="98"/>
      <c r="H23" s="98"/>
      <c r="I23" s="98"/>
      <c r="J23" s="98"/>
      <c r="K23" s="98"/>
      <c r="L23" s="98"/>
      <c r="M23" s="246"/>
    </row>
    <row r="24" spans="1:13" ht="21" customHeight="1">
      <c r="A24" s="443" t="s">
        <v>291</v>
      </c>
      <c r="B24" s="444"/>
      <c r="C24" s="444"/>
      <c r="D24" s="444"/>
      <c r="E24" s="444"/>
      <c r="F24" s="444"/>
      <c r="G24" s="444"/>
      <c r="H24" s="444"/>
      <c r="I24" s="444"/>
      <c r="J24" s="444"/>
      <c r="K24" s="444"/>
      <c r="L24" s="444"/>
      <c r="M24" s="445"/>
    </row>
    <row r="25" spans="1:13" ht="21" customHeight="1">
      <c r="A25" s="241" t="s">
        <v>69</v>
      </c>
      <c r="B25" s="240"/>
      <c r="C25" s="99">
        <f>산출근거!F19</f>
        <v>0.24</v>
      </c>
      <c r="D25" s="100" t="s">
        <v>68</v>
      </c>
      <c r="E25" s="89"/>
      <c r="F25" s="89"/>
      <c r="G25" s="89">
        <f>엔지니어링임금실태조사표!$K$7</f>
        <v>373353</v>
      </c>
      <c r="H25" s="89">
        <f>TRUNC(G25*C25)</f>
        <v>89604</v>
      </c>
      <c r="I25" s="89"/>
      <c r="J25" s="89"/>
      <c r="K25" s="89">
        <f t="shared" ref="K25:L27" si="4">I25+G25+E25</f>
        <v>373353</v>
      </c>
      <c r="L25" s="89">
        <f t="shared" si="4"/>
        <v>89604</v>
      </c>
      <c r="M25" s="239" t="s">
        <v>324</v>
      </c>
    </row>
    <row r="26" spans="1:13" ht="21" customHeight="1">
      <c r="A26" s="241" t="s">
        <v>70</v>
      </c>
      <c r="B26" s="240"/>
      <c r="C26" s="99">
        <f>산출근거!G19</f>
        <v>0.24</v>
      </c>
      <c r="D26" s="100" t="s">
        <v>68</v>
      </c>
      <c r="E26" s="89"/>
      <c r="F26" s="89"/>
      <c r="G26" s="89">
        <f>엔지니어링임금실태조사표!$K$8</f>
        <v>310884</v>
      </c>
      <c r="H26" s="89">
        <f>TRUNC(G26*C26)</f>
        <v>74612</v>
      </c>
      <c r="I26" s="89"/>
      <c r="J26" s="89"/>
      <c r="K26" s="89">
        <f t="shared" si="4"/>
        <v>310884</v>
      </c>
      <c r="L26" s="89">
        <f t="shared" si="4"/>
        <v>74612</v>
      </c>
      <c r="M26" s="239" t="s">
        <v>324</v>
      </c>
    </row>
    <row r="27" spans="1:13" ht="21" customHeight="1">
      <c r="A27" s="241" t="s">
        <v>71</v>
      </c>
      <c r="B27" s="240"/>
      <c r="C27" s="99">
        <f>산출근거!H19</f>
        <v>0.1</v>
      </c>
      <c r="D27" s="100" t="s">
        <v>68</v>
      </c>
      <c r="E27" s="89"/>
      <c r="F27" s="89"/>
      <c r="G27" s="89">
        <f>엔지니어링임금실태조사표!$K$9</f>
        <v>295138</v>
      </c>
      <c r="H27" s="89">
        <f>TRUNC(G27*C27)</f>
        <v>29513</v>
      </c>
      <c r="I27" s="89"/>
      <c r="J27" s="89"/>
      <c r="K27" s="89">
        <f t="shared" si="4"/>
        <v>295138</v>
      </c>
      <c r="L27" s="89">
        <f t="shared" si="4"/>
        <v>29513</v>
      </c>
      <c r="M27" s="239" t="s">
        <v>324</v>
      </c>
    </row>
    <row r="28" spans="1:13" ht="21" customHeight="1">
      <c r="A28" s="241" t="s">
        <v>289</v>
      </c>
      <c r="B28" s="240"/>
      <c r="C28" s="99">
        <f>산출근거!I19</f>
        <v>0</v>
      </c>
      <c r="D28" s="100" t="s">
        <v>290</v>
      </c>
      <c r="E28" s="89"/>
      <c r="F28" s="89"/>
      <c r="G28" s="89">
        <f>엔지니어링임금실태조사표!$K$10</f>
        <v>235459</v>
      </c>
      <c r="H28" s="89">
        <f>TRUNC(G28*C28)</f>
        <v>0</v>
      </c>
      <c r="I28" s="89"/>
      <c r="J28" s="89"/>
      <c r="K28" s="89">
        <f t="shared" ref="K28" si="5">I28+G28+E28</f>
        <v>235459</v>
      </c>
      <c r="L28" s="89">
        <f t="shared" ref="L28" si="6">J28+H28+F28</f>
        <v>0</v>
      </c>
      <c r="M28" s="239" t="s">
        <v>324</v>
      </c>
    </row>
    <row r="29" spans="1:13" ht="21" customHeight="1">
      <c r="A29" s="237" t="s">
        <v>72</v>
      </c>
      <c r="B29" s="238"/>
      <c r="C29" s="96"/>
      <c r="D29" s="96"/>
      <c r="E29" s="96"/>
      <c r="F29" s="96">
        <f>SUM(F25:F28)</f>
        <v>0</v>
      </c>
      <c r="G29" s="96"/>
      <c r="H29" s="96">
        <f>SUM(H25:H28)</f>
        <v>193729</v>
      </c>
      <c r="I29" s="96"/>
      <c r="J29" s="96">
        <f>SUM(J25:J28)</f>
        <v>0</v>
      </c>
      <c r="K29" s="96"/>
      <c r="L29" s="96">
        <f>J29+H29+F29</f>
        <v>193729</v>
      </c>
      <c r="M29" s="239" t="s">
        <v>44</v>
      </c>
    </row>
    <row r="30" spans="1:13" ht="21" customHeight="1">
      <c r="A30" s="245"/>
      <c r="B30" s="245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247"/>
    </row>
    <row r="31" spans="1:13" ht="21" customHeight="1">
      <c r="A31" s="443" t="s">
        <v>292</v>
      </c>
      <c r="B31" s="444"/>
      <c r="C31" s="444"/>
      <c r="D31" s="444"/>
      <c r="E31" s="444"/>
      <c r="F31" s="444"/>
      <c r="G31" s="444"/>
      <c r="H31" s="444"/>
      <c r="I31" s="444"/>
      <c r="J31" s="444"/>
      <c r="K31" s="444"/>
      <c r="L31" s="444"/>
      <c r="M31" s="445"/>
    </row>
    <row r="32" spans="1:13" ht="21" customHeight="1">
      <c r="A32" s="241" t="s">
        <v>69</v>
      </c>
      <c r="B32" s="240"/>
      <c r="C32" s="99">
        <f>산출근거!F20</f>
        <v>0</v>
      </c>
      <c r="D32" s="242" t="s">
        <v>73</v>
      </c>
      <c r="E32" s="95"/>
      <c r="F32" s="95"/>
      <c r="G32" s="89">
        <f>엔지니어링임금실태조사표!$K$7</f>
        <v>373353</v>
      </c>
      <c r="H32" s="95">
        <f>TRUNC(G32*C32)</f>
        <v>0</v>
      </c>
      <c r="I32" s="95"/>
      <c r="J32" s="95"/>
      <c r="K32" s="95">
        <f>G32+E32+I32</f>
        <v>373353</v>
      </c>
      <c r="L32" s="95">
        <f>J32+H32+F32</f>
        <v>0</v>
      </c>
      <c r="M32" s="239" t="s">
        <v>325</v>
      </c>
    </row>
    <row r="33" spans="1:13" ht="21" customHeight="1">
      <c r="A33" s="241" t="s">
        <v>70</v>
      </c>
      <c r="B33" s="240"/>
      <c r="C33" s="99">
        <f>산출근거!G20</f>
        <v>0</v>
      </c>
      <c r="D33" s="242" t="s">
        <v>73</v>
      </c>
      <c r="E33" s="95"/>
      <c r="F33" s="95"/>
      <c r="G33" s="89">
        <f>엔지니어링임금실태조사표!$K$8</f>
        <v>310884</v>
      </c>
      <c r="H33" s="95">
        <f>TRUNC(G33*C33)</f>
        <v>0</v>
      </c>
      <c r="I33" s="95"/>
      <c r="J33" s="95"/>
      <c r="K33" s="95">
        <f>G33+E33+I33</f>
        <v>310884</v>
      </c>
      <c r="L33" s="95">
        <f>J33+H33+F33</f>
        <v>0</v>
      </c>
      <c r="M33" s="239" t="s">
        <v>325</v>
      </c>
    </row>
    <row r="34" spans="1:13" ht="21" customHeight="1">
      <c r="A34" s="241" t="s">
        <v>71</v>
      </c>
      <c r="B34" s="240"/>
      <c r="C34" s="99">
        <f>산출근거!H20</f>
        <v>0.5</v>
      </c>
      <c r="D34" s="242" t="s">
        <v>74</v>
      </c>
      <c r="E34" s="95"/>
      <c r="F34" s="95"/>
      <c r="G34" s="89">
        <f>엔지니어링임금실태조사표!$K$9</f>
        <v>295138</v>
      </c>
      <c r="H34" s="95">
        <f>TRUNC(G34*C34)</f>
        <v>147569</v>
      </c>
      <c r="I34" s="95"/>
      <c r="J34" s="95"/>
      <c r="K34" s="95">
        <f t="shared" ref="K34:K35" si="7">G34+E34+I34</f>
        <v>295138</v>
      </c>
      <c r="L34" s="95">
        <f t="shared" ref="L34:L35" si="8">J34+H34+F34</f>
        <v>147569</v>
      </c>
      <c r="M34" s="239" t="s">
        <v>325</v>
      </c>
    </row>
    <row r="35" spans="1:13" ht="21" customHeight="1">
      <c r="A35" s="241" t="s">
        <v>75</v>
      </c>
      <c r="B35" s="248"/>
      <c r="C35" s="99">
        <f>산출근거!I20</f>
        <v>0</v>
      </c>
      <c r="D35" s="242" t="s">
        <v>74</v>
      </c>
      <c r="E35" s="95"/>
      <c r="F35" s="95"/>
      <c r="G35" s="89">
        <f>엔지니어링임금실태조사표!$K$10</f>
        <v>235459</v>
      </c>
      <c r="H35" s="95">
        <f>TRUNC(G35*C35)</f>
        <v>0</v>
      </c>
      <c r="I35" s="95"/>
      <c r="J35" s="95"/>
      <c r="K35" s="95">
        <f t="shared" si="7"/>
        <v>235459</v>
      </c>
      <c r="L35" s="95">
        <f t="shared" si="8"/>
        <v>0</v>
      </c>
      <c r="M35" s="239" t="s">
        <v>325</v>
      </c>
    </row>
    <row r="36" spans="1:13" ht="21" customHeight="1">
      <c r="A36" s="237" t="s">
        <v>72</v>
      </c>
      <c r="B36" s="238"/>
      <c r="C36" s="96"/>
      <c r="D36" s="96"/>
      <c r="E36" s="96"/>
      <c r="F36" s="96">
        <f>SUM(F32:F35)</f>
        <v>0</v>
      </c>
      <c r="G36" s="96"/>
      <c r="H36" s="96">
        <f>SUM(H32:H35)</f>
        <v>147569</v>
      </c>
      <c r="I36" s="96"/>
      <c r="J36" s="96">
        <f>SUM(J32:J35)</f>
        <v>0</v>
      </c>
      <c r="K36" s="96"/>
      <c r="L36" s="96">
        <f>J36+H36+F36</f>
        <v>147569</v>
      </c>
      <c r="M36" s="239"/>
    </row>
    <row r="37" spans="1:13" ht="21" customHeight="1">
      <c r="A37" s="249"/>
      <c r="B37" s="245"/>
      <c r="C37" s="97"/>
      <c r="D37" s="97"/>
      <c r="E37" s="98"/>
      <c r="F37" s="98"/>
      <c r="G37" s="98"/>
      <c r="H37" s="98"/>
      <c r="I37" s="98"/>
      <c r="J37" s="98"/>
      <c r="K37" s="98"/>
      <c r="L37" s="98"/>
      <c r="M37" s="246"/>
    </row>
    <row r="38" spans="1:13" ht="21" customHeight="1">
      <c r="A38" s="443" t="s">
        <v>293</v>
      </c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5"/>
    </row>
    <row r="39" spans="1:13" ht="21" customHeight="1">
      <c r="A39" s="241" t="s">
        <v>69</v>
      </c>
      <c r="B39" s="250"/>
      <c r="C39" s="99">
        <f>산출근거!F25</f>
        <v>0</v>
      </c>
      <c r="D39" s="242" t="s">
        <v>74</v>
      </c>
      <c r="E39" s="95"/>
      <c r="F39" s="95"/>
      <c r="G39" s="89">
        <f>엔지니어링임금실태조사표!$K$7</f>
        <v>373353</v>
      </c>
      <c r="H39" s="95">
        <f>TRUNC(G39*C39)</f>
        <v>0</v>
      </c>
      <c r="I39" s="95"/>
      <c r="J39" s="95"/>
      <c r="K39" s="95">
        <f t="shared" ref="K39:L41" si="9">I39+G39+E39</f>
        <v>373353</v>
      </c>
      <c r="L39" s="95">
        <f t="shared" si="9"/>
        <v>0</v>
      </c>
      <c r="M39" s="239" t="s">
        <v>326</v>
      </c>
    </row>
    <row r="40" spans="1:13" ht="21" customHeight="1">
      <c r="A40" s="241" t="s">
        <v>70</v>
      </c>
      <c r="B40" s="250"/>
      <c r="C40" s="99">
        <f>산출근거!G25</f>
        <v>0</v>
      </c>
      <c r="D40" s="242" t="s">
        <v>74</v>
      </c>
      <c r="E40" s="95"/>
      <c r="F40" s="95"/>
      <c r="G40" s="89">
        <f>엔지니어링임금실태조사표!$K$8</f>
        <v>310884</v>
      </c>
      <c r="H40" s="95">
        <f>TRUNC(G40*C40)</f>
        <v>0</v>
      </c>
      <c r="I40" s="95"/>
      <c r="J40" s="95"/>
      <c r="K40" s="95">
        <f t="shared" si="9"/>
        <v>310884</v>
      </c>
      <c r="L40" s="95">
        <f t="shared" si="9"/>
        <v>0</v>
      </c>
      <c r="M40" s="239" t="s">
        <v>326</v>
      </c>
    </row>
    <row r="41" spans="1:13" ht="21" customHeight="1">
      <c r="A41" s="241" t="s">
        <v>71</v>
      </c>
      <c r="B41" s="250"/>
      <c r="C41" s="99">
        <f>산출근거!H25</f>
        <v>0.2</v>
      </c>
      <c r="D41" s="242" t="s">
        <v>74</v>
      </c>
      <c r="E41" s="95"/>
      <c r="F41" s="95"/>
      <c r="G41" s="89">
        <f>엔지니어링임금실태조사표!$K$9</f>
        <v>295138</v>
      </c>
      <c r="H41" s="95">
        <f>TRUNC(G41*C41)</f>
        <v>59027</v>
      </c>
      <c r="I41" s="95"/>
      <c r="J41" s="95"/>
      <c r="K41" s="95">
        <f t="shared" si="9"/>
        <v>295138</v>
      </c>
      <c r="L41" s="95">
        <f t="shared" si="9"/>
        <v>59027</v>
      </c>
      <c r="M41" s="239" t="s">
        <v>326</v>
      </c>
    </row>
    <row r="42" spans="1:13" ht="21" customHeight="1">
      <c r="A42" s="241" t="s">
        <v>75</v>
      </c>
      <c r="B42" s="250"/>
      <c r="C42" s="99">
        <f>산출근거!I25</f>
        <v>0</v>
      </c>
      <c r="D42" s="242" t="s">
        <v>74</v>
      </c>
      <c r="E42" s="95"/>
      <c r="F42" s="95"/>
      <c r="G42" s="89">
        <f>엔지니어링임금실태조사표!$K$10</f>
        <v>235459</v>
      </c>
      <c r="H42" s="95">
        <f>TRUNC(G42*C42)</f>
        <v>0</v>
      </c>
      <c r="I42" s="95"/>
      <c r="J42" s="95"/>
      <c r="K42" s="95">
        <f>I42+G42+E42</f>
        <v>235459</v>
      </c>
      <c r="L42" s="95">
        <f>J42+H42+F42</f>
        <v>0</v>
      </c>
      <c r="M42" s="239" t="s">
        <v>326</v>
      </c>
    </row>
    <row r="43" spans="1:13" ht="21" customHeight="1">
      <c r="A43" s="237" t="s">
        <v>72</v>
      </c>
      <c r="B43" s="238"/>
      <c r="C43" s="96"/>
      <c r="D43" s="96"/>
      <c r="E43" s="96"/>
      <c r="F43" s="96">
        <f>SUM(F39:F42)</f>
        <v>0</v>
      </c>
      <c r="G43" s="96"/>
      <c r="H43" s="96">
        <f>SUM(H39:H42)</f>
        <v>59027</v>
      </c>
      <c r="I43" s="96"/>
      <c r="J43" s="96">
        <f>SUM(J39:J42)</f>
        <v>0</v>
      </c>
      <c r="K43" s="96"/>
      <c r="L43" s="96">
        <f>J43+H43+F43</f>
        <v>59027</v>
      </c>
      <c r="M43" s="239" t="s">
        <v>44</v>
      </c>
    </row>
    <row r="44" spans="1:13" ht="21" customHeight="1">
      <c r="A44" s="249"/>
      <c r="B44" s="245"/>
      <c r="C44" s="97"/>
      <c r="D44" s="97"/>
      <c r="E44" s="98"/>
      <c r="F44" s="98"/>
      <c r="G44" s="98"/>
      <c r="H44" s="98"/>
      <c r="I44" s="98"/>
      <c r="J44" s="98"/>
      <c r="K44" s="98"/>
      <c r="L44" s="98"/>
      <c r="M44" s="246"/>
    </row>
    <row r="45" spans="1:13" ht="21" customHeight="1">
      <c r="A45" s="443" t="s">
        <v>296</v>
      </c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5"/>
    </row>
    <row r="46" spans="1:13" ht="21" customHeight="1">
      <c r="A46" s="241" t="s">
        <v>69</v>
      </c>
      <c r="B46" s="240"/>
      <c r="C46" s="99">
        <f>산출근거!F26</f>
        <v>0.5</v>
      </c>
      <c r="D46" s="242" t="s">
        <v>73</v>
      </c>
      <c r="E46" s="95"/>
      <c r="F46" s="95"/>
      <c r="G46" s="89">
        <f>엔지니어링임금실태조사표!$K$7</f>
        <v>373353</v>
      </c>
      <c r="H46" s="95">
        <f>TRUNC(G46*C46)</f>
        <v>186676</v>
      </c>
      <c r="I46" s="95"/>
      <c r="J46" s="95"/>
      <c r="K46" s="95">
        <f>G46+E46+I46</f>
        <v>373353</v>
      </c>
      <c r="L46" s="95">
        <f>J46+H46+F46</f>
        <v>186676</v>
      </c>
      <c r="M46" s="239" t="s">
        <v>327</v>
      </c>
    </row>
    <row r="47" spans="1:13" ht="21" customHeight="1">
      <c r="A47" s="241" t="s">
        <v>70</v>
      </c>
      <c r="B47" s="240"/>
      <c r="C47" s="99">
        <f>산출근거!G26</f>
        <v>0.5</v>
      </c>
      <c r="D47" s="242" t="s">
        <v>73</v>
      </c>
      <c r="E47" s="95"/>
      <c r="F47" s="95"/>
      <c r="G47" s="89">
        <f>엔지니어링임금실태조사표!$K$8</f>
        <v>310884</v>
      </c>
      <c r="H47" s="95">
        <f>TRUNC(G47*C47)</f>
        <v>155442</v>
      </c>
      <c r="I47" s="95"/>
      <c r="J47" s="95"/>
      <c r="K47" s="95">
        <f>G47+E47+I47</f>
        <v>310884</v>
      </c>
      <c r="L47" s="95">
        <f>J47+H47+F47</f>
        <v>155442</v>
      </c>
      <c r="M47" s="239" t="s">
        <v>327</v>
      </c>
    </row>
    <row r="48" spans="1:13" ht="21" customHeight="1">
      <c r="A48" s="241" t="s">
        <v>71</v>
      </c>
      <c r="B48" s="240"/>
      <c r="C48" s="99">
        <f>산출근거!H26</f>
        <v>0</v>
      </c>
      <c r="D48" s="242" t="s">
        <v>74</v>
      </c>
      <c r="E48" s="95"/>
      <c r="F48" s="95"/>
      <c r="G48" s="89">
        <f>엔지니어링임금실태조사표!$K$9</f>
        <v>295138</v>
      </c>
      <c r="H48" s="95">
        <f>TRUNC(G48*C48)</f>
        <v>0</v>
      </c>
      <c r="I48" s="95"/>
      <c r="J48" s="95"/>
      <c r="K48" s="95">
        <f t="shared" ref="K48:K54" si="10">G48+E48+I48</f>
        <v>295138</v>
      </c>
      <c r="L48" s="95">
        <f t="shared" ref="L48:L54" si="11">J48+H48+F48</f>
        <v>0</v>
      </c>
      <c r="M48" s="239" t="s">
        <v>327</v>
      </c>
    </row>
    <row r="49" spans="1:13" ht="21" customHeight="1">
      <c r="A49" s="241" t="s">
        <v>75</v>
      </c>
      <c r="B49" s="248"/>
      <c r="C49" s="99">
        <f>산출근거!I26</f>
        <v>0</v>
      </c>
      <c r="D49" s="242" t="s">
        <v>74</v>
      </c>
      <c r="E49" s="95"/>
      <c r="F49" s="95"/>
      <c r="G49" s="89">
        <f>엔지니어링임금실태조사표!$K$10</f>
        <v>235459</v>
      </c>
      <c r="H49" s="95">
        <f>TRUNC(G49*C49)</f>
        <v>0</v>
      </c>
      <c r="I49" s="95"/>
      <c r="J49" s="95"/>
      <c r="K49" s="95">
        <f t="shared" si="10"/>
        <v>235459</v>
      </c>
      <c r="L49" s="95">
        <f t="shared" si="11"/>
        <v>0</v>
      </c>
      <c r="M49" s="239" t="s">
        <v>327</v>
      </c>
    </row>
    <row r="50" spans="1:13" ht="21" customHeight="1">
      <c r="A50" s="241" t="s">
        <v>76</v>
      </c>
      <c r="B50" s="241"/>
      <c r="C50" s="243">
        <v>1.2</v>
      </c>
      <c r="D50" s="242" t="s">
        <v>77</v>
      </c>
      <c r="E50" s="95">
        <v>1015</v>
      </c>
      <c r="F50" s="95">
        <f>TRUNC(E50*C50)</f>
        <v>1218</v>
      </c>
      <c r="G50" s="95"/>
      <c r="H50" s="95"/>
      <c r="I50" s="95"/>
      <c r="J50" s="95"/>
      <c r="K50" s="95">
        <f t="shared" si="10"/>
        <v>1015</v>
      </c>
      <c r="L50" s="95">
        <f t="shared" si="11"/>
        <v>1218</v>
      </c>
      <c r="M50" s="239" t="s">
        <v>85</v>
      </c>
    </row>
    <row r="51" spans="1:13" ht="21" customHeight="1">
      <c r="A51" s="241" t="s">
        <v>79</v>
      </c>
      <c r="B51" s="241" t="s">
        <v>80</v>
      </c>
      <c r="C51" s="244">
        <v>38</v>
      </c>
      <c r="D51" s="242" t="s">
        <v>81</v>
      </c>
      <c r="E51" s="95">
        <f>F50</f>
        <v>1218</v>
      </c>
      <c r="F51" s="95">
        <f>TRUNC(E51*C51/100)</f>
        <v>462</v>
      </c>
      <c r="G51" s="95"/>
      <c r="H51" s="95"/>
      <c r="I51" s="95"/>
      <c r="J51" s="95"/>
      <c r="K51" s="95">
        <f t="shared" si="10"/>
        <v>1218</v>
      </c>
      <c r="L51" s="95">
        <f t="shared" si="11"/>
        <v>462</v>
      </c>
      <c r="M51" s="239" t="s">
        <v>85</v>
      </c>
    </row>
    <row r="52" spans="1:13" ht="21" customHeight="1">
      <c r="A52" s="241" t="s">
        <v>82</v>
      </c>
      <c r="B52" s="241" t="s">
        <v>86</v>
      </c>
      <c r="C52" s="243">
        <v>0.4</v>
      </c>
      <c r="D52" s="242" t="s">
        <v>97</v>
      </c>
      <c r="E52" s="95"/>
      <c r="F52" s="95"/>
      <c r="G52" s="95"/>
      <c r="H52" s="95"/>
      <c r="I52" s="95">
        <f>기계경비1!G6</f>
        <v>41607</v>
      </c>
      <c r="J52" s="95">
        <f>TRUNC(I52*C52)</f>
        <v>16642</v>
      </c>
      <c r="K52" s="95">
        <f t="shared" si="10"/>
        <v>41607</v>
      </c>
      <c r="L52" s="95">
        <f t="shared" si="11"/>
        <v>16642</v>
      </c>
      <c r="M52" s="239" t="s">
        <v>85</v>
      </c>
    </row>
    <row r="53" spans="1:13" ht="21" customHeight="1">
      <c r="A53" s="241" t="s">
        <v>87</v>
      </c>
      <c r="B53" s="241"/>
      <c r="C53" s="243">
        <v>0.4</v>
      </c>
      <c r="D53" s="242" t="s">
        <v>97</v>
      </c>
      <c r="E53" s="95"/>
      <c r="F53" s="95"/>
      <c r="G53" s="95"/>
      <c r="H53" s="95"/>
      <c r="I53" s="95">
        <f>기계경비1!G7</f>
        <v>1918</v>
      </c>
      <c r="J53" s="95">
        <f>TRUNC(I53*C53)</f>
        <v>767</v>
      </c>
      <c r="K53" s="95">
        <f t="shared" si="10"/>
        <v>1918</v>
      </c>
      <c r="L53" s="95">
        <f t="shared" si="11"/>
        <v>767</v>
      </c>
      <c r="M53" s="239" t="s">
        <v>85</v>
      </c>
    </row>
    <row r="54" spans="1:13" ht="21" customHeight="1">
      <c r="A54" s="241" t="s">
        <v>84</v>
      </c>
      <c r="B54" s="241"/>
      <c r="C54" s="243">
        <v>0.4</v>
      </c>
      <c r="D54" s="242" t="s">
        <v>97</v>
      </c>
      <c r="E54" s="95"/>
      <c r="F54" s="95"/>
      <c r="G54" s="95"/>
      <c r="H54" s="95"/>
      <c r="I54" s="95">
        <f>기계경비1!G8</f>
        <v>7288</v>
      </c>
      <c r="J54" s="95">
        <f>TRUNC(I54*C54)</f>
        <v>2915</v>
      </c>
      <c r="K54" s="95">
        <f t="shared" si="10"/>
        <v>7288</v>
      </c>
      <c r="L54" s="95">
        <f t="shared" si="11"/>
        <v>2915</v>
      </c>
      <c r="M54" s="239" t="s">
        <v>85</v>
      </c>
    </row>
    <row r="55" spans="1:13" ht="21" customHeight="1">
      <c r="A55" s="237" t="s">
        <v>72</v>
      </c>
      <c r="B55" s="238"/>
      <c r="C55" s="96"/>
      <c r="D55" s="96"/>
      <c r="E55" s="96"/>
      <c r="F55" s="96">
        <f>SUM(F46:F54)</f>
        <v>1680</v>
      </c>
      <c r="G55" s="96"/>
      <c r="H55" s="96">
        <f>SUM(H46:H54)</f>
        <v>342118</v>
      </c>
      <c r="I55" s="96"/>
      <c r="J55" s="96">
        <f>SUM(J46:J54)</f>
        <v>20324</v>
      </c>
      <c r="K55" s="96"/>
      <c r="L55" s="96">
        <f>J55+H55+F55</f>
        <v>364122</v>
      </c>
      <c r="M55" s="239"/>
    </row>
    <row r="56" spans="1:13" ht="21" customHeight="1">
      <c r="A56" s="249"/>
      <c r="B56" s="245"/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246"/>
    </row>
    <row r="57" spans="1:13" ht="21" customHeight="1">
      <c r="A57" s="443" t="s">
        <v>297</v>
      </c>
      <c r="B57" s="444"/>
      <c r="C57" s="444"/>
      <c r="D57" s="444"/>
      <c r="E57" s="444"/>
      <c r="F57" s="444"/>
      <c r="G57" s="444"/>
      <c r="H57" s="444"/>
      <c r="I57" s="444"/>
      <c r="J57" s="444"/>
      <c r="K57" s="444"/>
      <c r="L57" s="444"/>
      <c r="M57" s="445"/>
    </row>
    <row r="58" spans="1:13" ht="21" customHeight="1">
      <c r="A58" s="241" t="s">
        <v>69</v>
      </c>
      <c r="B58" s="251"/>
      <c r="C58" s="99">
        <f>산출근거!F27</f>
        <v>0</v>
      </c>
      <c r="D58" s="242" t="s">
        <v>73</v>
      </c>
      <c r="E58" s="95"/>
      <c r="F58" s="95"/>
      <c r="G58" s="89">
        <f>엔지니어링임금실태조사표!$K$7</f>
        <v>373353</v>
      </c>
      <c r="H58" s="95">
        <f>TRUNC(G58*C58)</f>
        <v>0</v>
      </c>
      <c r="I58" s="95"/>
      <c r="J58" s="95"/>
      <c r="K58" s="95">
        <f>I58+G58+E58</f>
        <v>373353</v>
      </c>
      <c r="L58" s="95">
        <f>J58+H58+F58</f>
        <v>0</v>
      </c>
      <c r="M58" s="239" t="s">
        <v>328</v>
      </c>
    </row>
    <row r="59" spans="1:13" ht="21" customHeight="1">
      <c r="A59" s="241" t="s">
        <v>70</v>
      </c>
      <c r="B59" s="251"/>
      <c r="C59" s="99">
        <f>산출근거!G27</f>
        <v>0.5</v>
      </c>
      <c r="D59" s="242" t="s">
        <v>73</v>
      </c>
      <c r="E59" s="95"/>
      <c r="F59" s="95"/>
      <c r="G59" s="89">
        <f>엔지니어링임금실태조사표!$K$8</f>
        <v>310884</v>
      </c>
      <c r="H59" s="95">
        <f>TRUNC(G59*C59)</f>
        <v>155442</v>
      </c>
      <c r="I59" s="95"/>
      <c r="J59" s="95"/>
      <c r="K59" s="95">
        <f>I59+G59+E59</f>
        <v>310884</v>
      </c>
      <c r="L59" s="95">
        <f>J59+H59+F59</f>
        <v>155442</v>
      </c>
      <c r="M59" s="239" t="s">
        <v>328</v>
      </c>
    </row>
    <row r="60" spans="1:13" ht="21" customHeight="1">
      <c r="A60" s="241" t="s">
        <v>71</v>
      </c>
      <c r="B60" s="251"/>
      <c r="C60" s="99">
        <f>산출근거!H27</f>
        <v>0.5</v>
      </c>
      <c r="D60" s="242" t="s">
        <v>74</v>
      </c>
      <c r="E60" s="95"/>
      <c r="F60" s="95"/>
      <c r="G60" s="89">
        <f>엔지니어링임금실태조사표!$K$9</f>
        <v>295138</v>
      </c>
      <c r="H60" s="95">
        <f>TRUNC(G60*C60)</f>
        <v>147569</v>
      </c>
      <c r="I60" s="95"/>
      <c r="J60" s="95"/>
      <c r="K60" s="95">
        <f t="shared" ref="K60:L69" si="12">I60+G60+E60</f>
        <v>295138</v>
      </c>
      <c r="L60" s="95">
        <f t="shared" si="12"/>
        <v>147569</v>
      </c>
      <c r="M60" s="239" t="s">
        <v>328</v>
      </c>
    </row>
    <row r="61" spans="1:13" ht="21" customHeight="1">
      <c r="A61" s="241" t="s">
        <v>298</v>
      </c>
      <c r="B61" s="251"/>
      <c r="C61" s="99">
        <f>산출근거!I27</f>
        <v>0.5</v>
      </c>
      <c r="D61" s="242" t="s">
        <v>74</v>
      </c>
      <c r="E61" s="95"/>
      <c r="F61" s="95"/>
      <c r="G61" s="89">
        <f>엔지니어링임금실태조사표!$K$10</f>
        <v>235459</v>
      </c>
      <c r="H61" s="95">
        <f>TRUNC(G61*C61)</f>
        <v>117729</v>
      </c>
      <c r="I61" s="95"/>
      <c r="J61" s="95"/>
      <c r="K61" s="95">
        <f t="shared" ref="K61" si="13">I61+G61+E61</f>
        <v>235459</v>
      </c>
      <c r="L61" s="95">
        <f t="shared" ref="L61" si="14">J61+H61+F61</f>
        <v>117729</v>
      </c>
      <c r="M61" s="239" t="s">
        <v>328</v>
      </c>
    </row>
    <row r="62" spans="1:13" ht="21" customHeight="1">
      <c r="A62" s="241" t="s">
        <v>93</v>
      </c>
      <c r="B62" s="251"/>
      <c r="C62" s="243">
        <v>0.4</v>
      </c>
      <c r="D62" s="242" t="s">
        <v>74</v>
      </c>
      <c r="E62" s="95"/>
      <c r="F62" s="95"/>
      <c r="G62" s="95"/>
      <c r="H62" s="95"/>
      <c r="I62" s="95">
        <f>노임단가!$E$6</f>
        <v>232562</v>
      </c>
      <c r="J62" s="95">
        <f>TRUNC(I62*C62)</f>
        <v>93024</v>
      </c>
      <c r="K62" s="95">
        <f t="shared" si="12"/>
        <v>232562</v>
      </c>
      <c r="L62" s="95">
        <f t="shared" si="12"/>
        <v>93024</v>
      </c>
      <c r="M62" s="239" t="s">
        <v>94</v>
      </c>
    </row>
    <row r="63" spans="1:13" ht="21" customHeight="1">
      <c r="A63" s="241" t="s">
        <v>316</v>
      </c>
      <c r="B63" s="252" t="s">
        <v>317</v>
      </c>
      <c r="C63" s="243">
        <v>0.1</v>
      </c>
      <c r="D63" s="242" t="s">
        <v>390</v>
      </c>
      <c r="E63" s="95">
        <f>재료비!G10</f>
        <v>16000</v>
      </c>
      <c r="F63" s="95">
        <f>TRUNC(E63*C63)</f>
        <v>1600</v>
      </c>
      <c r="G63" s="95"/>
      <c r="H63" s="95"/>
      <c r="I63" s="95"/>
      <c r="J63" s="95"/>
      <c r="K63" s="95">
        <f t="shared" ref="K63" si="15">I63+G63+E63</f>
        <v>16000</v>
      </c>
      <c r="L63" s="95">
        <f t="shared" ref="L63" si="16">J63+H63+F63</f>
        <v>1600</v>
      </c>
      <c r="M63" s="239" t="s">
        <v>343</v>
      </c>
    </row>
    <row r="64" spans="1:13" ht="21" customHeight="1">
      <c r="A64" s="241" t="s">
        <v>95</v>
      </c>
      <c r="B64" s="241"/>
      <c r="C64" s="243">
        <v>1.2</v>
      </c>
      <c r="D64" s="242" t="s">
        <v>77</v>
      </c>
      <c r="E64" s="95">
        <f>재료비!$G$7</f>
        <v>1669</v>
      </c>
      <c r="F64" s="95">
        <f>TRUNC(E64*C64)</f>
        <v>2002</v>
      </c>
      <c r="G64" s="95"/>
      <c r="H64" s="95"/>
      <c r="I64" s="95"/>
      <c r="J64" s="95"/>
      <c r="K64" s="95">
        <f t="shared" si="12"/>
        <v>1669</v>
      </c>
      <c r="L64" s="95">
        <f t="shared" si="12"/>
        <v>2002</v>
      </c>
      <c r="M64" s="239" t="s">
        <v>94</v>
      </c>
    </row>
    <row r="65" spans="1:13" ht="21" customHeight="1">
      <c r="A65" s="241" t="s">
        <v>79</v>
      </c>
      <c r="B65" s="241" t="s">
        <v>80</v>
      </c>
      <c r="C65" s="244">
        <v>38</v>
      </c>
      <c r="D65" s="242" t="s">
        <v>81</v>
      </c>
      <c r="E65" s="95">
        <f>F64</f>
        <v>2002</v>
      </c>
      <c r="F65" s="95">
        <f>TRUNC(E65*C65/100)</f>
        <v>760</v>
      </c>
      <c r="G65" s="95"/>
      <c r="H65" s="95"/>
      <c r="I65" s="95"/>
      <c r="J65" s="95"/>
      <c r="K65" s="95">
        <f t="shared" si="12"/>
        <v>2002</v>
      </c>
      <c r="L65" s="95">
        <f t="shared" si="12"/>
        <v>760</v>
      </c>
      <c r="M65" s="239" t="s">
        <v>94</v>
      </c>
    </row>
    <row r="66" spans="1:13" ht="21" customHeight="1">
      <c r="A66" s="241" t="s">
        <v>96</v>
      </c>
      <c r="B66" s="241"/>
      <c r="C66" s="243">
        <v>0.2</v>
      </c>
      <c r="D66" s="242" t="s">
        <v>97</v>
      </c>
      <c r="E66" s="95"/>
      <c r="F66" s="95"/>
      <c r="G66" s="95"/>
      <c r="H66" s="95"/>
      <c r="I66" s="95">
        <f>기계경비1!$G$10</f>
        <v>1062</v>
      </c>
      <c r="J66" s="95">
        <f>TRUNC(I66*C66)</f>
        <v>212</v>
      </c>
      <c r="K66" s="95">
        <f t="shared" si="12"/>
        <v>1062</v>
      </c>
      <c r="L66" s="95">
        <f t="shared" si="12"/>
        <v>212</v>
      </c>
      <c r="M66" s="239" t="s">
        <v>94</v>
      </c>
    </row>
    <row r="67" spans="1:13" ht="21" customHeight="1">
      <c r="A67" s="241" t="s">
        <v>98</v>
      </c>
      <c r="B67" s="241" t="s">
        <v>318</v>
      </c>
      <c r="C67" s="243">
        <v>0.2</v>
      </c>
      <c r="D67" s="242" t="s">
        <v>97</v>
      </c>
      <c r="E67" s="95"/>
      <c r="F67" s="95"/>
      <c r="G67" s="95"/>
      <c r="H67" s="95"/>
      <c r="I67" s="95">
        <f>기계경비1!$G$9</f>
        <v>2350</v>
      </c>
      <c r="J67" s="95">
        <f>TRUNC(I67*C67)</f>
        <v>470</v>
      </c>
      <c r="K67" s="95">
        <f t="shared" ref="K67" si="17">I67+G67+E67</f>
        <v>2350</v>
      </c>
      <c r="L67" s="95">
        <f t="shared" ref="L67" si="18">J67+H67+F67</f>
        <v>470</v>
      </c>
      <c r="M67" s="239" t="s">
        <v>343</v>
      </c>
    </row>
    <row r="68" spans="1:13" ht="21" customHeight="1">
      <c r="A68" s="241" t="s">
        <v>99</v>
      </c>
      <c r="B68" s="241" t="s">
        <v>100</v>
      </c>
      <c r="C68" s="243">
        <v>0.4</v>
      </c>
      <c r="D68" s="242" t="s">
        <v>97</v>
      </c>
      <c r="E68" s="95"/>
      <c r="F68" s="95"/>
      <c r="G68" s="95"/>
      <c r="H68" s="95"/>
      <c r="I68" s="95">
        <f>기계경비1!$G$11</f>
        <v>458</v>
      </c>
      <c r="J68" s="95">
        <f>TRUNC(I68*C68)</f>
        <v>183</v>
      </c>
      <c r="K68" s="95">
        <f t="shared" si="12"/>
        <v>458</v>
      </c>
      <c r="L68" s="95">
        <f t="shared" si="12"/>
        <v>183</v>
      </c>
      <c r="M68" s="239" t="s">
        <v>94</v>
      </c>
    </row>
    <row r="69" spans="1:13" ht="21" customHeight="1">
      <c r="A69" s="241" t="s">
        <v>101</v>
      </c>
      <c r="B69" s="241"/>
      <c r="C69" s="243">
        <v>0.4</v>
      </c>
      <c r="D69" s="242" t="s">
        <v>97</v>
      </c>
      <c r="E69" s="95"/>
      <c r="F69" s="95"/>
      <c r="G69" s="95"/>
      <c r="H69" s="95"/>
      <c r="I69" s="95">
        <f>기계경비1!G8</f>
        <v>7288</v>
      </c>
      <c r="J69" s="95">
        <f>TRUNC(I69*C69)</f>
        <v>2915</v>
      </c>
      <c r="K69" s="95">
        <f t="shared" si="12"/>
        <v>7288</v>
      </c>
      <c r="L69" s="95">
        <f t="shared" si="12"/>
        <v>2915</v>
      </c>
      <c r="M69" s="239" t="s">
        <v>94</v>
      </c>
    </row>
    <row r="70" spans="1:13" ht="21" customHeight="1">
      <c r="A70" s="237" t="s">
        <v>72</v>
      </c>
      <c r="B70" s="238"/>
      <c r="C70" s="96"/>
      <c r="D70" s="96"/>
      <c r="E70" s="96"/>
      <c r="F70" s="96">
        <f>SUM(F58:F69)</f>
        <v>4362</v>
      </c>
      <c r="G70" s="96"/>
      <c r="H70" s="96">
        <f>SUM(H58:H69)</f>
        <v>420740</v>
      </c>
      <c r="I70" s="96"/>
      <c r="J70" s="96">
        <f>SUM(J58:J69)</f>
        <v>96804</v>
      </c>
      <c r="K70" s="96"/>
      <c r="L70" s="96">
        <f>J70+H70+F70</f>
        <v>521906</v>
      </c>
      <c r="M70" s="239"/>
    </row>
    <row r="71" spans="1:13" ht="21" customHeight="1">
      <c r="A71" s="245"/>
      <c r="B71" s="245"/>
      <c r="C71" s="97"/>
      <c r="D71" s="97"/>
      <c r="E71" s="98"/>
      <c r="F71" s="98"/>
      <c r="G71" s="98"/>
      <c r="H71" s="98"/>
      <c r="I71" s="98"/>
      <c r="J71" s="98"/>
      <c r="K71" s="98"/>
      <c r="L71" s="98"/>
      <c r="M71" s="246"/>
    </row>
    <row r="72" spans="1:13" ht="21" customHeight="1">
      <c r="A72" s="443" t="s">
        <v>299</v>
      </c>
      <c r="B72" s="444"/>
      <c r="C72" s="444"/>
      <c r="D72" s="444"/>
      <c r="E72" s="444"/>
      <c r="F72" s="444"/>
      <c r="G72" s="444"/>
      <c r="H72" s="444"/>
      <c r="I72" s="444"/>
      <c r="J72" s="444"/>
      <c r="K72" s="444"/>
      <c r="L72" s="444"/>
      <c r="M72" s="445"/>
    </row>
    <row r="73" spans="1:13" ht="21" customHeight="1">
      <c r="A73" s="241" t="s">
        <v>69</v>
      </c>
      <c r="B73" s="240"/>
      <c r="C73" s="99">
        <f>산출근거!F28</f>
        <v>0</v>
      </c>
      <c r="D73" s="242" t="s">
        <v>73</v>
      </c>
      <c r="E73" s="95"/>
      <c r="F73" s="95"/>
      <c r="G73" s="89">
        <f>엔지니어링임금실태조사표!$K$7</f>
        <v>373353</v>
      </c>
      <c r="H73" s="95">
        <f>TRUNC(G73*C73)</f>
        <v>0</v>
      </c>
      <c r="I73" s="95"/>
      <c r="J73" s="95"/>
      <c r="K73" s="95">
        <f>G73+E73+I73</f>
        <v>373353</v>
      </c>
      <c r="L73" s="95">
        <f>J73+H73+F73</f>
        <v>0</v>
      </c>
      <c r="M73" s="239" t="s">
        <v>329</v>
      </c>
    </row>
    <row r="74" spans="1:13" ht="21" customHeight="1">
      <c r="A74" s="241" t="s">
        <v>70</v>
      </c>
      <c r="B74" s="240"/>
      <c r="C74" s="99">
        <f>산출근거!G28</f>
        <v>0</v>
      </c>
      <c r="D74" s="242" t="s">
        <v>73</v>
      </c>
      <c r="E74" s="95"/>
      <c r="F74" s="95"/>
      <c r="G74" s="89">
        <f>엔지니어링임금실태조사표!$K$8</f>
        <v>310884</v>
      </c>
      <c r="H74" s="95">
        <f>TRUNC(G74*C74)</f>
        <v>0</v>
      </c>
      <c r="I74" s="95"/>
      <c r="J74" s="95"/>
      <c r="K74" s="95">
        <f>G74+E74+I74</f>
        <v>310884</v>
      </c>
      <c r="L74" s="95">
        <f>J74+H74+F74</f>
        <v>0</v>
      </c>
      <c r="M74" s="239" t="s">
        <v>329</v>
      </c>
    </row>
    <row r="75" spans="1:13" ht="21" customHeight="1">
      <c r="A75" s="241" t="s">
        <v>71</v>
      </c>
      <c r="B75" s="240"/>
      <c r="C75" s="99">
        <f>산출근거!H28</f>
        <v>0.5</v>
      </c>
      <c r="D75" s="242" t="s">
        <v>74</v>
      </c>
      <c r="E75" s="95"/>
      <c r="F75" s="95"/>
      <c r="G75" s="89">
        <f>엔지니어링임금실태조사표!$K$9</f>
        <v>295138</v>
      </c>
      <c r="H75" s="95">
        <f>TRUNC(G75*C75)</f>
        <v>147569</v>
      </c>
      <c r="I75" s="95"/>
      <c r="J75" s="95"/>
      <c r="K75" s="95">
        <f t="shared" ref="K75:K76" si="19">G75+E75+I75</f>
        <v>295138</v>
      </c>
      <c r="L75" s="95">
        <f t="shared" ref="L75:L76" si="20">J75+H75+F75</f>
        <v>147569</v>
      </c>
      <c r="M75" s="239" t="s">
        <v>329</v>
      </c>
    </row>
    <row r="76" spans="1:13" ht="21" customHeight="1">
      <c r="A76" s="241" t="s">
        <v>75</v>
      </c>
      <c r="B76" s="248"/>
      <c r="C76" s="99">
        <f>산출근거!I28</f>
        <v>0</v>
      </c>
      <c r="D76" s="242" t="s">
        <v>74</v>
      </c>
      <c r="E76" s="95"/>
      <c r="F76" s="95"/>
      <c r="G76" s="89">
        <f>엔지니어링임금실태조사표!$K$10</f>
        <v>235459</v>
      </c>
      <c r="H76" s="95">
        <f>TRUNC(G76*C76)</f>
        <v>0</v>
      </c>
      <c r="I76" s="95"/>
      <c r="J76" s="95"/>
      <c r="K76" s="95">
        <f t="shared" si="19"/>
        <v>235459</v>
      </c>
      <c r="L76" s="95">
        <f t="shared" si="20"/>
        <v>0</v>
      </c>
      <c r="M76" s="239" t="s">
        <v>329</v>
      </c>
    </row>
    <row r="77" spans="1:13" ht="21" customHeight="1">
      <c r="A77" s="237" t="s">
        <v>72</v>
      </c>
      <c r="B77" s="238"/>
      <c r="C77" s="96"/>
      <c r="D77" s="96"/>
      <c r="E77" s="96"/>
      <c r="F77" s="96">
        <f>SUM(F73:F76)</f>
        <v>0</v>
      </c>
      <c r="G77" s="96"/>
      <c r="H77" s="96">
        <f>SUM(H73:H76)</f>
        <v>147569</v>
      </c>
      <c r="I77" s="96"/>
      <c r="J77" s="96">
        <f>SUM(J73:J76)</f>
        <v>0</v>
      </c>
      <c r="K77" s="96"/>
      <c r="L77" s="96">
        <f>J77+H77+F77</f>
        <v>147569</v>
      </c>
      <c r="M77" s="239"/>
    </row>
    <row r="78" spans="1:13" ht="21" customHeight="1">
      <c r="A78" s="249"/>
      <c r="B78" s="245"/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246"/>
    </row>
    <row r="79" spans="1:13" ht="21" customHeight="1">
      <c r="A79" s="443" t="s">
        <v>300</v>
      </c>
      <c r="B79" s="444"/>
      <c r="C79" s="444"/>
      <c r="D79" s="444"/>
      <c r="E79" s="444"/>
      <c r="F79" s="444"/>
      <c r="G79" s="444"/>
      <c r="H79" s="444"/>
      <c r="I79" s="444"/>
      <c r="J79" s="444"/>
      <c r="K79" s="444"/>
      <c r="L79" s="444"/>
      <c r="M79" s="445"/>
    </row>
    <row r="80" spans="1:13" ht="21" customHeight="1">
      <c r="A80" s="241" t="s">
        <v>69</v>
      </c>
      <c r="B80" s="240"/>
      <c r="C80" s="99">
        <f>산출근거!F29</f>
        <v>0.5</v>
      </c>
      <c r="D80" s="242" t="s">
        <v>73</v>
      </c>
      <c r="E80" s="95"/>
      <c r="F80" s="95"/>
      <c r="G80" s="89">
        <f>엔지니어링임금실태조사표!$K$7</f>
        <v>373353</v>
      </c>
      <c r="H80" s="95">
        <f>TRUNC(G80*C80)</f>
        <v>186676</v>
      </c>
      <c r="I80" s="95"/>
      <c r="J80" s="95"/>
      <c r="K80" s="95">
        <f>G80+E80+I80</f>
        <v>373353</v>
      </c>
      <c r="L80" s="95">
        <f>J80+H80+F80</f>
        <v>186676</v>
      </c>
      <c r="M80" s="239" t="s">
        <v>330</v>
      </c>
    </row>
    <row r="81" spans="1:13" ht="21" customHeight="1">
      <c r="A81" s="241" t="s">
        <v>70</v>
      </c>
      <c r="B81" s="240"/>
      <c r="C81" s="99">
        <f>산출근거!G29</f>
        <v>0.5</v>
      </c>
      <c r="D81" s="242" t="s">
        <v>73</v>
      </c>
      <c r="E81" s="95"/>
      <c r="F81" s="95"/>
      <c r="G81" s="89">
        <f>엔지니어링임금실태조사표!$K$8</f>
        <v>310884</v>
      </c>
      <c r="H81" s="95">
        <f>TRUNC(G81*C81)</f>
        <v>155442</v>
      </c>
      <c r="I81" s="95"/>
      <c r="J81" s="95"/>
      <c r="K81" s="95">
        <f>G81+E81+I81</f>
        <v>310884</v>
      </c>
      <c r="L81" s="95">
        <f>J81+H81+F81</f>
        <v>155442</v>
      </c>
      <c r="M81" s="239" t="s">
        <v>330</v>
      </c>
    </row>
    <row r="82" spans="1:13" ht="21" customHeight="1">
      <c r="A82" s="241" t="s">
        <v>71</v>
      </c>
      <c r="B82" s="240"/>
      <c r="C82" s="99">
        <f>산출근거!H29</f>
        <v>0.5</v>
      </c>
      <c r="D82" s="242" t="s">
        <v>74</v>
      </c>
      <c r="E82" s="95"/>
      <c r="F82" s="95"/>
      <c r="G82" s="89">
        <f>엔지니어링임금실태조사표!$K$9</f>
        <v>295138</v>
      </c>
      <c r="H82" s="95">
        <f>TRUNC(G82*C82)</f>
        <v>147569</v>
      </c>
      <c r="I82" s="95"/>
      <c r="J82" s="95"/>
      <c r="K82" s="95">
        <f t="shared" ref="K82:K83" si="21">G82+E82+I82</f>
        <v>295138</v>
      </c>
      <c r="L82" s="95">
        <f t="shared" ref="L82:L83" si="22">J82+H82+F82</f>
        <v>147569</v>
      </c>
      <c r="M82" s="239" t="s">
        <v>330</v>
      </c>
    </row>
    <row r="83" spans="1:13" ht="21" customHeight="1">
      <c r="A83" s="241" t="s">
        <v>75</v>
      </c>
      <c r="B83" s="248"/>
      <c r="C83" s="99">
        <f>산출근거!I29</f>
        <v>0.5</v>
      </c>
      <c r="D83" s="242" t="s">
        <v>74</v>
      </c>
      <c r="E83" s="95"/>
      <c r="F83" s="95"/>
      <c r="G83" s="89">
        <f>엔지니어링임금실태조사표!$K$10</f>
        <v>235459</v>
      </c>
      <c r="H83" s="95">
        <f>TRUNC(G83*C83)</f>
        <v>117729</v>
      </c>
      <c r="I83" s="95"/>
      <c r="J83" s="95"/>
      <c r="K83" s="95">
        <f t="shared" si="21"/>
        <v>235459</v>
      </c>
      <c r="L83" s="95">
        <f t="shared" si="22"/>
        <v>117729</v>
      </c>
      <c r="M83" s="239" t="s">
        <v>330</v>
      </c>
    </row>
    <row r="84" spans="1:13" ht="21" customHeight="1">
      <c r="A84" s="237" t="s">
        <v>72</v>
      </c>
      <c r="B84" s="238"/>
      <c r="C84" s="96"/>
      <c r="D84" s="96"/>
      <c r="E84" s="96"/>
      <c r="F84" s="96">
        <f>SUM(F80:F83)</f>
        <v>0</v>
      </c>
      <c r="G84" s="96"/>
      <c r="H84" s="96">
        <f>SUM(H80:H83)</f>
        <v>607416</v>
      </c>
      <c r="I84" s="96"/>
      <c r="J84" s="96">
        <f>SUM(J80:J83)</f>
        <v>0</v>
      </c>
      <c r="K84" s="96"/>
      <c r="L84" s="96">
        <f>J84+H84+F84</f>
        <v>607416</v>
      </c>
      <c r="M84" s="239"/>
    </row>
    <row r="85" spans="1:13" ht="21" customHeight="1">
      <c r="A85" s="249"/>
      <c r="B85" s="245"/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246"/>
    </row>
    <row r="86" spans="1:13" ht="21" customHeight="1">
      <c r="A86" s="443" t="s">
        <v>301</v>
      </c>
      <c r="B86" s="444"/>
      <c r="C86" s="444"/>
      <c r="D86" s="444"/>
      <c r="E86" s="444"/>
      <c r="F86" s="444"/>
      <c r="G86" s="444"/>
      <c r="H86" s="444"/>
      <c r="I86" s="444"/>
      <c r="J86" s="444"/>
      <c r="K86" s="444"/>
      <c r="L86" s="444"/>
      <c r="M86" s="445"/>
    </row>
    <row r="87" spans="1:13" ht="21" customHeight="1">
      <c r="A87" s="240" t="s">
        <v>306</v>
      </c>
      <c r="B87" s="240" t="s">
        <v>88</v>
      </c>
      <c r="C87" s="100">
        <v>1</v>
      </c>
      <c r="D87" s="100" t="s">
        <v>57</v>
      </c>
      <c r="E87" s="95"/>
      <c r="F87" s="95"/>
      <c r="G87" s="95"/>
      <c r="H87" s="95"/>
      <c r="I87" s="95">
        <f>성과품!$H$5</f>
        <v>205000</v>
      </c>
      <c r="J87" s="95">
        <f t="shared" ref="J87:J90" si="23">TRUNC(I87*C87)</f>
        <v>205000</v>
      </c>
      <c r="K87" s="95">
        <f>E87+G87+I87</f>
        <v>205000</v>
      </c>
      <c r="L87" s="95">
        <f>F87+H87+J87</f>
        <v>205000</v>
      </c>
      <c r="M87" s="239"/>
    </row>
    <row r="88" spans="1:13" ht="21" customHeight="1">
      <c r="A88" s="240" t="s">
        <v>307</v>
      </c>
      <c r="B88" s="240" t="s">
        <v>432</v>
      </c>
      <c r="C88" s="100">
        <v>1</v>
      </c>
      <c r="D88" s="100" t="s">
        <v>57</v>
      </c>
      <c r="E88" s="95"/>
      <c r="F88" s="95"/>
      <c r="G88" s="95"/>
      <c r="H88" s="95"/>
      <c r="I88" s="95">
        <f>성과품!$H$6</f>
        <v>42500</v>
      </c>
      <c r="J88" s="95">
        <f t="shared" si="23"/>
        <v>42500</v>
      </c>
      <c r="K88" s="95">
        <f>E88+G88+I88</f>
        <v>42500</v>
      </c>
      <c r="L88" s="95">
        <f t="shared" ref="L88:L91" si="24">F88+H88+J88</f>
        <v>42500</v>
      </c>
      <c r="M88" s="239" t="s">
        <v>44</v>
      </c>
    </row>
    <row r="89" spans="1:13" ht="21" customHeight="1">
      <c r="A89" s="240" t="s">
        <v>89</v>
      </c>
      <c r="B89" s="240" t="s">
        <v>90</v>
      </c>
      <c r="C89" s="100">
        <v>3</v>
      </c>
      <c r="D89" s="100" t="s">
        <v>91</v>
      </c>
      <c r="E89" s="95"/>
      <c r="F89" s="95"/>
      <c r="G89" s="95"/>
      <c r="H89" s="95"/>
      <c r="I89" s="95">
        <f>성과품!$F$7</f>
        <v>89000</v>
      </c>
      <c r="J89" s="95">
        <f t="shared" si="23"/>
        <v>267000</v>
      </c>
      <c r="K89" s="95">
        <f>E89+G89+I89</f>
        <v>89000</v>
      </c>
      <c r="L89" s="95">
        <f t="shared" si="24"/>
        <v>267000</v>
      </c>
      <c r="M89" s="239" t="s">
        <v>44</v>
      </c>
    </row>
    <row r="90" spans="1:13" ht="21" customHeight="1">
      <c r="A90" s="240" t="s">
        <v>92</v>
      </c>
      <c r="B90" s="240"/>
      <c r="C90" s="100">
        <v>3</v>
      </c>
      <c r="D90" s="100" t="s">
        <v>91</v>
      </c>
      <c r="E90" s="95"/>
      <c r="F90" s="95"/>
      <c r="G90" s="95"/>
      <c r="H90" s="95"/>
      <c r="I90" s="95">
        <f>성과품!$F$8</f>
        <v>2000</v>
      </c>
      <c r="J90" s="95">
        <f t="shared" si="23"/>
        <v>6000</v>
      </c>
      <c r="K90" s="95">
        <f>E90+G90+I90</f>
        <v>2000</v>
      </c>
      <c r="L90" s="95">
        <f t="shared" si="24"/>
        <v>6000</v>
      </c>
      <c r="M90" s="239"/>
    </row>
    <row r="91" spans="1:13" ht="21" customHeight="1">
      <c r="A91" s="237" t="s">
        <v>72</v>
      </c>
      <c r="B91" s="238"/>
      <c r="C91" s="96"/>
      <c r="D91" s="96"/>
      <c r="E91" s="96"/>
      <c r="F91" s="96"/>
      <c r="G91" s="96"/>
      <c r="H91" s="96"/>
      <c r="I91" s="96"/>
      <c r="J91" s="96">
        <f>SUM(J87:J90)</f>
        <v>520500</v>
      </c>
      <c r="K91" s="96"/>
      <c r="L91" s="96">
        <f t="shared" si="24"/>
        <v>520500</v>
      </c>
      <c r="M91" s="239" t="s">
        <v>44</v>
      </c>
    </row>
    <row r="92" spans="1:13" ht="21" customHeight="1">
      <c r="A92" s="245"/>
      <c r="B92" s="245"/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246"/>
    </row>
    <row r="93" spans="1:13" ht="21" customHeight="1">
      <c r="A93" s="443" t="s">
        <v>302</v>
      </c>
      <c r="B93" s="444"/>
      <c r="C93" s="444"/>
      <c r="D93" s="444"/>
      <c r="E93" s="444"/>
      <c r="F93" s="444"/>
      <c r="G93" s="444"/>
      <c r="H93" s="444"/>
      <c r="I93" s="444"/>
      <c r="J93" s="444"/>
      <c r="K93" s="444"/>
      <c r="L93" s="444"/>
      <c r="M93" s="445"/>
    </row>
    <row r="94" spans="1:13" ht="21" customHeight="1">
      <c r="A94" s="240" t="s">
        <v>102</v>
      </c>
      <c r="B94" s="240"/>
      <c r="C94" s="100">
        <f>산출근거!$E$41</f>
        <v>45.01</v>
      </c>
      <c r="D94" s="101" t="s">
        <v>103</v>
      </c>
      <c r="E94" s="95">
        <f>재료비!$G$8</f>
        <v>1100</v>
      </c>
      <c r="F94" s="95">
        <f>TRUNC(E94*C94)</f>
        <v>49511</v>
      </c>
      <c r="G94" s="95"/>
      <c r="H94" s="95"/>
      <c r="I94" s="95"/>
      <c r="J94" s="95"/>
      <c r="K94" s="95">
        <f t="shared" ref="K94:K96" si="25">E94+G94+I94</f>
        <v>1100</v>
      </c>
      <c r="L94" s="95">
        <f t="shared" ref="L94:L97" si="26">F94+H94+J94</f>
        <v>49511</v>
      </c>
      <c r="M94" s="239" t="s">
        <v>351</v>
      </c>
    </row>
    <row r="95" spans="1:13" ht="21" customHeight="1">
      <c r="A95" s="240" t="s">
        <v>104</v>
      </c>
      <c r="B95" s="240"/>
      <c r="C95" s="253">
        <f>산출근거!$E$43</f>
        <v>0.4501</v>
      </c>
      <c r="D95" s="101" t="s">
        <v>105</v>
      </c>
      <c r="E95" s="95">
        <f>재료비!$G$9</f>
        <v>980</v>
      </c>
      <c r="F95" s="95">
        <f>TRUNC(E95*C95)</f>
        <v>441</v>
      </c>
      <c r="G95" s="95"/>
      <c r="H95" s="95"/>
      <c r="I95" s="95"/>
      <c r="J95" s="95"/>
      <c r="K95" s="95">
        <f t="shared" si="25"/>
        <v>980</v>
      </c>
      <c r="L95" s="95">
        <f t="shared" si="26"/>
        <v>441</v>
      </c>
      <c r="M95" s="239" t="s">
        <v>351</v>
      </c>
    </row>
    <row r="96" spans="1:13" ht="21" customHeight="1">
      <c r="A96" s="240" t="s">
        <v>106</v>
      </c>
      <c r="B96" s="240"/>
      <c r="C96" s="101">
        <f>산출근거!$E$44</f>
        <v>0.125</v>
      </c>
      <c r="D96" s="101" t="s">
        <v>74</v>
      </c>
      <c r="E96" s="95"/>
      <c r="F96" s="95"/>
      <c r="G96" s="95">
        <f>노임단가!$E$5</f>
        <v>172068</v>
      </c>
      <c r="H96" s="95">
        <f>TRUNC(G96*C96)</f>
        <v>21508</v>
      </c>
      <c r="I96" s="95"/>
      <c r="J96" s="95"/>
      <c r="K96" s="95">
        <f t="shared" si="25"/>
        <v>172068</v>
      </c>
      <c r="L96" s="95">
        <f t="shared" si="26"/>
        <v>21508</v>
      </c>
      <c r="M96" s="239" t="s">
        <v>351</v>
      </c>
    </row>
    <row r="97" spans="1:13" ht="21" customHeight="1">
      <c r="A97" s="240" t="s">
        <v>107</v>
      </c>
      <c r="B97" s="240" t="s">
        <v>108</v>
      </c>
      <c r="C97" s="253">
        <f>산출근거!$E$45</f>
        <v>0.02</v>
      </c>
      <c r="D97" s="101" t="s">
        <v>109</v>
      </c>
      <c r="E97" s="95"/>
      <c r="F97" s="95"/>
      <c r="G97" s="95"/>
      <c r="H97" s="95"/>
      <c r="I97" s="95">
        <f>H98</f>
        <v>21508</v>
      </c>
      <c r="J97" s="95">
        <f t="shared" ref="J97" si="27">TRUNC(I97*C97)</f>
        <v>430</v>
      </c>
      <c r="K97" s="95">
        <f>E97+G97+I97</f>
        <v>21508</v>
      </c>
      <c r="L97" s="95">
        <f t="shared" si="26"/>
        <v>430</v>
      </c>
      <c r="M97" s="239" t="s">
        <v>351</v>
      </c>
    </row>
    <row r="98" spans="1:13" ht="21" customHeight="1">
      <c r="A98" s="237" t="s">
        <v>72</v>
      </c>
      <c r="B98" s="238"/>
      <c r="C98" s="96"/>
      <c r="D98" s="96"/>
      <c r="E98" s="96"/>
      <c r="F98" s="96">
        <f>SUM(F94:F97)</f>
        <v>49952</v>
      </c>
      <c r="G98" s="96"/>
      <c r="H98" s="96">
        <f>SUM(H94:H97)</f>
        <v>21508</v>
      </c>
      <c r="I98" s="96"/>
      <c r="J98" s="96">
        <f>SUM(J94:J97)</f>
        <v>430</v>
      </c>
      <c r="K98" s="96"/>
      <c r="L98" s="96">
        <f t="shared" ref="L98" si="28">F98+H98+J98</f>
        <v>71890</v>
      </c>
      <c r="M98" s="239"/>
    </row>
    <row r="99" spans="1:13" ht="21" customHeight="1">
      <c r="A99" s="240"/>
      <c r="B99" s="240"/>
      <c r="C99" s="101"/>
      <c r="D99" s="100"/>
      <c r="E99" s="95"/>
      <c r="F99" s="95"/>
      <c r="G99" s="95"/>
      <c r="H99" s="95"/>
      <c r="I99" s="95"/>
      <c r="J99" s="95"/>
      <c r="K99" s="95"/>
      <c r="L99" s="95"/>
      <c r="M99" s="239"/>
    </row>
    <row r="100" spans="1:13" ht="21" customHeight="1">
      <c r="A100" s="443" t="s">
        <v>303</v>
      </c>
      <c r="B100" s="444"/>
      <c r="C100" s="444"/>
      <c r="D100" s="444"/>
      <c r="E100" s="444"/>
      <c r="F100" s="444"/>
      <c r="G100" s="444"/>
      <c r="H100" s="444"/>
      <c r="I100" s="444"/>
      <c r="J100" s="444"/>
      <c r="K100" s="444"/>
      <c r="L100" s="444"/>
      <c r="M100" s="445"/>
    </row>
    <row r="101" spans="1:13" ht="21" customHeight="1">
      <c r="A101" s="240" t="s">
        <v>111</v>
      </c>
      <c r="B101" s="240" t="s">
        <v>112</v>
      </c>
      <c r="C101" s="101">
        <f>산출근거!$I$56</f>
        <v>0.5</v>
      </c>
      <c r="D101" s="100" t="s">
        <v>68</v>
      </c>
      <c r="E101" s="95"/>
      <c r="F101" s="95"/>
      <c r="G101" s="95">
        <f>노임단가!$E$5</f>
        <v>172068</v>
      </c>
      <c r="H101" s="95">
        <f>TRUNC(G101*C101)</f>
        <v>86034</v>
      </c>
      <c r="I101" s="95"/>
      <c r="J101" s="95"/>
      <c r="K101" s="95">
        <f t="shared" ref="K101:L105" si="29">I101+G101+E101</f>
        <v>172068</v>
      </c>
      <c r="L101" s="95">
        <f t="shared" si="29"/>
        <v>86034</v>
      </c>
      <c r="M101" s="239" t="s">
        <v>351</v>
      </c>
    </row>
    <row r="102" spans="1:13" ht="21" customHeight="1">
      <c r="A102" s="240" t="s">
        <v>113</v>
      </c>
      <c r="B102" s="240"/>
      <c r="C102" s="101">
        <f>산출근거!$I$58</f>
        <v>0.72</v>
      </c>
      <c r="D102" s="100" t="s">
        <v>114</v>
      </c>
      <c r="E102" s="95"/>
      <c r="F102" s="95"/>
      <c r="G102" s="95"/>
      <c r="H102" s="95"/>
      <c r="I102" s="95">
        <f>재료비!$G$11</f>
        <v>11780</v>
      </c>
      <c r="J102" s="95">
        <f t="shared" ref="J102:J104" si="30">TRUNC(I102*C102)</f>
        <v>8481</v>
      </c>
      <c r="K102" s="95">
        <f t="shared" si="29"/>
        <v>11780</v>
      </c>
      <c r="L102" s="95">
        <f t="shared" si="29"/>
        <v>8481</v>
      </c>
      <c r="M102" s="239" t="s">
        <v>351</v>
      </c>
    </row>
    <row r="103" spans="1:13" ht="21" customHeight="1">
      <c r="A103" s="240" t="s">
        <v>115</v>
      </c>
      <c r="B103" s="240"/>
      <c r="C103" s="101">
        <f>산출근거!$I$59</f>
        <v>0.06</v>
      </c>
      <c r="D103" s="100" t="s">
        <v>114</v>
      </c>
      <c r="E103" s="95"/>
      <c r="F103" s="95"/>
      <c r="G103" s="95"/>
      <c r="H103" s="95"/>
      <c r="I103" s="95">
        <f>재료비!G12</f>
        <v>34700</v>
      </c>
      <c r="J103" s="95">
        <f t="shared" si="30"/>
        <v>2082</v>
      </c>
      <c r="K103" s="95">
        <f t="shared" si="29"/>
        <v>34700</v>
      </c>
      <c r="L103" s="95">
        <f t="shared" si="29"/>
        <v>2082</v>
      </c>
      <c r="M103" s="239" t="s">
        <v>351</v>
      </c>
    </row>
    <row r="104" spans="1:13" ht="21" customHeight="1">
      <c r="A104" s="240" t="s">
        <v>385</v>
      </c>
      <c r="B104" s="248" t="s">
        <v>386</v>
      </c>
      <c r="C104" s="100">
        <v>2</v>
      </c>
      <c r="D104" s="100" t="s">
        <v>97</v>
      </c>
      <c r="E104" s="95">
        <f>기계경비2!AB4</f>
        <v>6355</v>
      </c>
      <c r="F104" s="95">
        <f>TRUNC(E104*C104)</f>
        <v>12710</v>
      </c>
      <c r="G104" s="95">
        <f>기계경비2!AA4</f>
        <v>49479</v>
      </c>
      <c r="H104" s="95">
        <f>TRUNC(G104*C104)</f>
        <v>98958</v>
      </c>
      <c r="I104" s="95">
        <f>기계경비2!AC4</f>
        <v>5887</v>
      </c>
      <c r="J104" s="95">
        <f t="shared" si="30"/>
        <v>11774</v>
      </c>
      <c r="K104" s="95">
        <f t="shared" si="29"/>
        <v>61721</v>
      </c>
      <c r="L104" s="95">
        <f t="shared" si="29"/>
        <v>123442</v>
      </c>
      <c r="M104" s="239" t="s">
        <v>351</v>
      </c>
    </row>
    <row r="105" spans="1:13" ht="21" customHeight="1">
      <c r="A105" s="237" t="s">
        <v>72</v>
      </c>
      <c r="B105" s="238"/>
      <c r="C105" s="96"/>
      <c r="D105" s="96"/>
      <c r="E105" s="96"/>
      <c r="F105" s="96">
        <f t="shared" ref="F105:J105" si="31">SUM(F101:F104)</f>
        <v>12710</v>
      </c>
      <c r="G105" s="96"/>
      <c r="H105" s="96">
        <f t="shared" si="31"/>
        <v>184992</v>
      </c>
      <c r="I105" s="96"/>
      <c r="J105" s="96">
        <f t="shared" si="31"/>
        <v>22337</v>
      </c>
      <c r="K105" s="96"/>
      <c r="L105" s="96">
        <f t="shared" si="29"/>
        <v>220039</v>
      </c>
      <c r="M105" s="239" t="s">
        <v>44</v>
      </c>
    </row>
    <row r="106" spans="1:13" ht="21" customHeight="1">
      <c r="A106" s="37"/>
      <c r="B106" s="37"/>
      <c r="C106" s="38"/>
      <c r="D106" s="38"/>
      <c r="E106" s="39"/>
      <c r="F106" s="39"/>
      <c r="G106" s="39"/>
      <c r="H106" s="39"/>
      <c r="I106" s="39"/>
      <c r="J106" s="39"/>
      <c r="K106" s="39"/>
      <c r="L106" s="39"/>
      <c r="M106" s="46"/>
    </row>
    <row r="107" spans="1:13" s="291" customFormat="1" ht="21" customHeight="1">
      <c r="A107" s="449" t="s">
        <v>423</v>
      </c>
      <c r="B107" s="450"/>
      <c r="C107" s="450"/>
      <c r="D107" s="450"/>
      <c r="E107" s="450"/>
      <c r="F107" s="450"/>
      <c r="G107" s="450"/>
      <c r="H107" s="450"/>
      <c r="I107" s="450"/>
      <c r="J107" s="450"/>
      <c r="K107" s="450"/>
      <c r="L107" s="450"/>
      <c r="M107" s="451"/>
    </row>
    <row r="108" spans="1:13" s="291" customFormat="1" ht="21" customHeight="1">
      <c r="A108" s="292" t="s">
        <v>69</v>
      </c>
      <c r="B108" s="293"/>
      <c r="C108" s="294">
        <f>산출근거!F21</f>
        <v>3.8</v>
      </c>
      <c r="D108" s="295" t="s">
        <v>68</v>
      </c>
      <c r="E108" s="296"/>
      <c r="F108" s="296"/>
      <c r="G108" s="296">
        <f>엔지니어링임금실태조사표!$K$7</f>
        <v>373353</v>
      </c>
      <c r="H108" s="296">
        <f>TRUNC(G108*C108)</f>
        <v>1418741</v>
      </c>
      <c r="I108" s="296"/>
      <c r="J108" s="296"/>
      <c r="K108" s="296">
        <f t="shared" ref="K108:K111" si="32">G108+I108+E108</f>
        <v>373353</v>
      </c>
      <c r="L108" s="296">
        <f t="shared" ref="L108:L111" si="33">H108+J108+F108</f>
        <v>1418741</v>
      </c>
      <c r="M108" s="297" t="s">
        <v>416</v>
      </c>
    </row>
    <row r="109" spans="1:13" s="291" customFormat="1" ht="21" customHeight="1">
      <c r="A109" s="292" t="s">
        <v>70</v>
      </c>
      <c r="B109" s="293"/>
      <c r="C109" s="294">
        <f>산출근거!G21</f>
        <v>3.22</v>
      </c>
      <c r="D109" s="295" t="s">
        <v>68</v>
      </c>
      <c r="E109" s="296"/>
      <c r="F109" s="296"/>
      <c r="G109" s="296">
        <f>엔지니어링임금실태조사표!$K$8</f>
        <v>310884</v>
      </c>
      <c r="H109" s="296">
        <f>TRUNC(G109*C109)</f>
        <v>1001046</v>
      </c>
      <c r="I109" s="296"/>
      <c r="J109" s="296"/>
      <c r="K109" s="296">
        <f t="shared" si="32"/>
        <v>310884</v>
      </c>
      <c r="L109" s="296">
        <f t="shared" si="33"/>
        <v>1001046</v>
      </c>
      <c r="M109" s="297" t="s">
        <v>416</v>
      </c>
    </row>
    <row r="110" spans="1:13" s="291" customFormat="1" ht="21" customHeight="1">
      <c r="A110" s="292" t="s">
        <v>71</v>
      </c>
      <c r="B110" s="293"/>
      <c r="C110" s="294">
        <f>산출근거!H21</f>
        <v>1.9</v>
      </c>
      <c r="D110" s="295" t="s">
        <v>68</v>
      </c>
      <c r="E110" s="296"/>
      <c r="F110" s="296"/>
      <c r="G110" s="296">
        <f>엔지니어링임금실태조사표!$K$9</f>
        <v>295138</v>
      </c>
      <c r="H110" s="296">
        <f>TRUNC(G110*C110)</f>
        <v>560762</v>
      </c>
      <c r="I110" s="296"/>
      <c r="J110" s="296"/>
      <c r="K110" s="296">
        <f t="shared" si="32"/>
        <v>295138</v>
      </c>
      <c r="L110" s="296">
        <f t="shared" si="33"/>
        <v>560762</v>
      </c>
      <c r="M110" s="297" t="s">
        <v>416</v>
      </c>
    </row>
    <row r="111" spans="1:13" s="291" customFormat="1" ht="21" customHeight="1">
      <c r="A111" s="292" t="s">
        <v>75</v>
      </c>
      <c r="B111" s="293"/>
      <c r="C111" s="294">
        <f>산출근거!I21</f>
        <v>0.9</v>
      </c>
      <c r="D111" s="295" t="s">
        <v>73</v>
      </c>
      <c r="E111" s="296"/>
      <c r="F111" s="296"/>
      <c r="G111" s="296">
        <f>엔지니어링임금실태조사표!$K$10</f>
        <v>235459</v>
      </c>
      <c r="H111" s="296">
        <f>TRUNC(G111*C111)</f>
        <v>211913</v>
      </c>
      <c r="I111" s="296"/>
      <c r="J111" s="296"/>
      <c r="K111" s="296">
        <f t="shared" si="32"/>
        <v>235459</v>
      </c>
      <c r="L111" s="296">
        <f t="shared" si="33"/>
        <v>211913</v>
      </c>
      <c r="M111" s="297" t="s">
        <v>416</v>
      </c>
    </row>
    <row r="112" spans="1:13" s="291" customFormat="1" ht="21" customHeight="1">
      <c r="A112" s="298" t="s">
        <v>72</v>
      </c>
      <c r="B112" s="299"/>
      <c r="C112" s="300"/>
      <c r="D112" s="300"/>
      <c r="E112" s="300"/>
      <c r="F112" s="300">
        <f>SUM(F108:F111)</f>
        <v>0</v>
      </c>
      <c r="G112" s="300"/>
      <c r="H112" s="300">
        <f>SUM(H108:H111)</f>
        <v>3192462</v>
      </c>
      <c r="I112" s="300"/>
      <c r="J112" s="300">
        <f>SUM(J108:J111)</f>
        <v>0</v>
      </c>
      <c r="K112" s="300"/>
      <c r="L112" s="300">
        <f>F112+H112+J112</f>
        <v>3192462</v>
      </c>
      <c r="M112" s="297"/>
    </row>
    <row r="113" spans="1:13" s="291" customFormat="1" ht="21" customHeight="1">
      <c r="A113" s="301"/>
      <c r="B113" s="301"/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7"/>
    </row>
    <row r="114" spans="1:13" s="291" customFormat="1" ht="21" customHeight="1">
      <c r="A114" s="452" t="s">
        <v>417</v>
      </c>
      <c r="B114" s="453"/>
      <c r="C114" s="453"/>
      <c r="D114" s="453"/>
      <c r="E114" s="453"/>
      <c r="F114" s="453"/>
      <c r="G114" s="453"/>
      <c r="H114" s="453"/>
      <c r="I114" s="453"/>
      <c r="J114" s="453"/>
      <c r="K114" s="453"/>
      <c r="L114" s="453"/>
      <c r="M114" s="454"/>
    </row>
    <row r="115" spans="1:13" s="291" customFormat="1" ht="21" customHeight="1">
      <c r="A115" s="302" t="s">
        <v>69</v>
      </c>
      <c r="B115" s="301"/>
      <c r="C115" s="294">
        <f>산출근거!F22</f>
        <v>0.218</v>
      </c>
      <c r="D115" s="303" t="s">
        <v>73</v>
      </c>
      <c r="E115" s="296"/>
      <c r="F115" s="296"/>
      <c r="G115" s="296">
        <f>엔지니어링임금실태조사표!$K$7</f>
        <v>373353</v>
      </c>
      <c r="H115" s="296">
        <f>TRUNC(G115*C115)</f>
        <v>81390</v>
      </c>
      <c r="I115" s="296"/>
      <c r="J115" s="296"/>
      <c r="K115" s="296">
        <f>I115+G115+E115</f>
        <v>373353</v>
      </c>
      <c r="L115" s="296">
        <f>J115+H115+F115</f>
        <v>81390</v>
      </c>
      <c r="M115" s="297" t="s">
        <v>420</v>
      </c>
    </row>
    <row r="116" spans="1:13" s="291" customFormat="1" ht="21" customHeight="1">
      <c r="A116" s="302" t="s">
        <v>70</v>
      </c>
      <c r="B116" s="301"/>
      <c r="C116" s="294">
        <f>산출근거!G22</f>
        <v>0.40600000000000003</v>
      </c>
      <c r="D116" s="303" t="s">
        <v>73</v>
      </c>
      <c r="E116" s="296"/>
      <c r="F116" s="296"/>
      <c r="G116" s="296">
        <f>엔지니어링임금실태조사표!$K$8</f>
        <v>310884</v>
      </c>
      <c r="H116" s="296">
        <f>TRUNC(G116*C116)</f>
        <v>126218</v>
      </c>
      <c r="I116" s="296"/>
      <c r="J116" s="296"/>
      <c r="K116" s="296">
        <f>I116+G116+E116</f>
        <v>310884</v>
      </c>
      <c r="L116" s="296">
        <f>J116+H116+F116</f>
        <v>126218</v>
      </c>
      <c r="M116" s="297" t="s">
        <v>420</v>
      </c>
    </row>
    <row r="117" spans="1:13" s="291" customFormat="1" ht="21" customHeight="1">
      <c r="A117" s="302" t="s">
        <v>71</v>
      </c>
      <c r="B117" s="301"/>
      <c r="C117" s="294">
        <f>산출근거!H22</f>
        <v>0.39300000000000002</v>
      </c>
      <c r="D117" s="303" t="s">
        <v>74</v>
      </c>
      <c r="E117" s="296"/>
      <c r="F117" s="296"/>
      <c r="G117" s="296">
        <f>엔지니어링임금실태조사표!$K$9</f>
        <v>295138</v>
      </c>
      <c r="H117" s="296">
        <f>TRUNC(G117*C117)</f>
        <v>115989</v>
      </c>
      <c r="I117" s="296"/>
      <c r="J117" s="296"/>
      <c r="K117" s="296">
        <f t="shared" ref="K117:K118" si="34">I117+G117+E117</f>
        <v>295138</v>
      </c>
      <c r="L117" s="296">
        <f t="shared" ref="L117:L118" si="35">J117+H117+F117</f>
        <v>115989</v>
      </c>
      <c r="M117" s="297" t="s">
        <v>420</v>
      </c>
    </row>
    <row r="118" spans="1:13" s="291" customFormat="1" ht="21" customHeight="1">
      <c r="A118" s="302" t="s">
        <v>75</v>
      </c>
      <c r="B118" s="301"/>
      <c r="C118" s="294">
        <f>산출근거!I22</f>
        <v>0.46800000000000003</v>
      </c>
      <c r="D118" s="303" t="s">
        <v>74</v>
      </c>
      <c r="E118" s="296"/>
      <c r="F118" s="296"/>
      <c r="G118" s="296">
        <f>엔지니어링임금실태조사표!$K$10</f>
        <v>235459</v>
      </c>
      <c r="H118" s="296">
        <f>TRUNC(G118*C118)</f>
        <v>110194</v>
      </c>
      <c r="I118" s="296"/>
      <c r="J118" s="296"/>
      <c r="K118" s="296">
        <f t="shared" si="34"/>
        <v>235459</v>
      </c>
      <c r="L118" s="296">
        <f t="shared" si="35"/>
        <v>110194</v>
      </c>
      <c r="M118" s="297" t="s">
        <v>420</v>
      </c>
    </row>
    <row r="119" spans="1:13" s="291" customFormat="1" ht="21" customHeight="1">
      <c r="A119" s="302" t="s">
        <v>427</v>
      </c>
      <c r="B119" s="302"/>
      <c r="C119" s="304">
        <v>16</v>
      </c>
      <c r="D119" s="303" t="s">
        <v>213</v>
      </c>
      <c r="E119" s="296"/>
      <c r="F119" s="296"/>
      <c r="G119" s="296"/>
      <c r="H119" s="296"/>
      <c r="I119" s="296">
        <f>지반조사품셈!J55</f>
        <v>41607</v>
      </c>
      <c r="J119" s="296">
        <f>C119*I119</f>
        <v>665712</v>
      </c>
      <c r="K119" s="296"/>
      <c r="L119" s="296"/>
      <c r="M119" s="297" t="s">
        <v>426</v>
      </c>
    </row>
    <row r="120" spans="1:13" s="291" customFormat="1" ht="21" customHeight="1">
      <c r="A120" s="302" t="s">
        <v>87</v>
      </c>
      <c r="B120" s="302"/>
      <c r="C120" s="304">
        <v>16</v>
      </c>
      <c r="D120" s="303" t="s">
        <v>213</v>
      </c>
      <c r="E120" s="296"/>
      <c r="F120" s="296"/>
      <c r="G120" s="296"/>
      <c r="H120" s="296"/>
      <c r="I120" s="296">
        <f>지반조사품셈!J56</f>
        <v>1918</v>
      </c>
      <c r="J120" s="296">
        <f>C120*I120</f>
        <v>30688</v>
      </c>
      <c r="K120" s="296"/>
      <c r="L120" s="296"/>
      <c r="M120" s="297" t="s">
        <v>426</v>
      </c>
    </row>
    <row r="121" spans="1:13" s="291" customFormat="1" ht="21" customHeight="1">
      <c r="A121" s="298" t="s">
        <v>72</v>
      </c>
      <c r="B121" s="299"/>
      <c r="C121" s="300"/>
      <c r="D121" s="300"/>
      <c r="E121" s="300"/>
      <c r="F121" s="300">
        <f>SUM(F116:F120)</f>
        <v>0</v>
      </c>
      <c r="G121" s="300"/>
      <c r="H121" s="300">
        <f>SUM(H115:H120)</f>
        <v>433791</v>
      </c>
      <c r="I121" s="300"/>
      <c r="J121" s="300">
        <f>SUM(J115:J120)</f>
        <v>696400</v>
      </c>
      <c r="K121" s="300"/>
      <c r="L121" s="300">
        <f>J121+H121+F121</f>
        <v>1130191</v>
      </c>
      <c r="M121" s="297" t="s">
        <v>44</v>
      </c>
    </row>
    <row r="122" spans="1:13" s="291" customFormat="1" ht="21" customHeight="1">
      <c r="A122" s="305"/>
      <c r="B122" s="305"/>
      <c r="C122" s="306"/>
      <c r="D122" s="306"/>
      <c r="E122" s="306"/>
      <c r="F122" s="306"/>
      <c r="G122" s="306"/>
      <c r="H122" s="306"/>
      <c r="I122" s="306"/>
      <c r="J122" s="306"/>
      <c r="K122" s="306"/>
      <c r="L122" s="306"/>
      <c r="M122" s="307"/>
    </row>
    <row r="123" spans="1:13" s="291" customFormat="1" ht="21" customHeight="1">
      <c r="A123" s="452" t="s">
        <v>418</v>
      </c>
      <c r="B123" s="453"/>
      <c r="C123" s="453"/>
      <c r="D123" s="453"/>
      <c r="E123" s="453"/>
      <c r="F123" s="453"/>
      <c r="G123" s="453"/>
      <c r="H123" s="453"/>
      <c r="I123" s="453"/>
      <c r="J123" s="453"/>
      <c r="K123" s="453"/>
      <c r="L123" s="453"/>
      <c r="M123" s="454"/>
    </row>
    <row r="124" spans="1:13" s="291" customFormat="1" ht="21" customHeight="1">
      <c r="A124" s="302" t="s">
        <v>69</v>
      </c>
      <c r="B124" s="301"/>
      <c r="C124" s="294">
        <f>산출근거!F23</f>
        <v>0.25</v>
      </c>
      <c r="D124" s="308" t="s">
        <v>68</v>
      </c>
      <c r="E124" s="296"/>
      <c r="F124" s="296"/>
      <c r="G124" s="296">
        <f>엔지니어링임금실태조사표!$K$7</f>
        <v>373353</v>
      </c>
      <c r="H124" s="296">
        <f>TRUNC(G124*C124)</f>
        <v>93338</v>
      </c>
      <c r="I124" s="296"/>
      <c r="J124" s="296"/>
      <c r="K124" s="296">
        <f t="shared" ref="K124:K127" si="36">I124+G124+E124</f>
        <v>373353</v>
      </c>
      <c r="L124" s="296">
        <f t="shared" ref="L124:L127" si="37">J124+H124+F124</f>
        <v>93338</v>
      </c>
      <c r="M124" s="297" t="s">
        <v>421</v>
      </c>
    </row>
    <row r="125" spans="1:13" s="291" customFormat="1" ht="21" customHeight="1">
      <c r="A125" s="302" t="s">
        <v>70</v>
      </c>
      <c r="B125" s="301"/>
      <c r="C125" s="294">
        <f>산출근거!G23</f>
        <v>0.26</v>
      </c>
      <c r="D125" s="308" t="s">
        <v>68</v>
      </c>
      <c r="E125" s="296"/>
      <c r="F125" s="296"/>
      <c r="G125" s="296">
        <f>엔지니어링임금실태조사표!$K$8</f>
        <v>310884</v>
      </c>
      <c r="H125" s="296">
        <f>TRUNC(G125*C125)</f>
        <v>80829</v>
      </c>
      <c r="I125" s="296"/>
      <c r="J125" s="296"/>
      <c r="K125" s="296">
        <f t="shared" si="36"/>
        <v>310884</v>
      </c>
      <c r="L125" s="296">
        <f t="shared" si="37"/>
        <v>80829</v>
      </c>
      <c r="M125" s="297" t="s">
        <v>421</v>
      </c>
    </row>
    <row r="126" spans="1:13" s="291" customFormat="1" ht="21" customHeight="1">
      <c r="A126" s="302" t="s">
        <v>71</v>
      </c>
      <c r="B126" s="301"/>
      <c r="C126" s="294">
        <f>산출근거!H23</f>
        <v>0.19</v>
      </c>
      <c r="D126" s="308" t="s">
        <v>68</v>
      </c>
      <c r="E126" s="296"/>
      <c r="F126" s="296"/>
      <c r="G126" s="296">
        <f>엔지니어링임금실태조사표!$K$9</f>
        <v>295138</v>
      </c>
      <c r="H126" s="296">
        <f>TRUNC(G126*C126)</f>
        <v>56076</v>
      </c>
      <c r="I126" s="296"/>
      <c r="J126" s="296"/>
      <c r="K126" s="296">
        <f t="shared" si="36"/>
        <v>295138</v>
      </c>
      <c r="L126" s="296">
        <f t="shared" si="37"/>
        <v>56076</v>
      </c>
      <c r="M126" s="297" t="s">
        <v>421</v>
      </c>
    </row>
    <row r="127" spans="1:13" s="291" customFormat="1" ht="21" customHeight="1">
      <c r="A127" s="302" t="s">
        <v>75</v>
      </c>
      <c r="B127" s="301"/>
      <c r="C127" s="294">
        <f>산출근거!I23</f>
        <v>0.08</v>
      </c>
      <c r="D127" s="308" t="s">
        <v>73</v>
      </c>
      <c r="E127" s="296"/>
      <c r="F127" s="296"/>
      <c r="G127" s="296">
        <f>엔지니어링임금실태조사표!$K$10</f>
        <v>235459</v>
      </c>
      <c r="H127" s="296">
        <f>TRUNC(G127*C127)</f>
        <v>18836</v>
      </c>
      <c r="I127" s="296"/>
      <c r="J127" s="296"/>
      <c r="K127" s="296">
        <f t="shared" si="36"/>
        <v>235459</v>
      </c>
      <c r="L127" s="296">
        <f t="shared" si="37"/>
        <v>18836</v>
      </c>
      <c r="M127" s="297" t="s">
        <v>421</v>
      </c>
    </row>
    <row r="128" spans="1:13" s="291" customFormat="1" ht="21" customHeight="1">
      <c r="A128" s="298" t="s">
        <v>72</v>
      </c>
      <c r="B128" s="299"/>
      <c r="C128" s="300"/>
      <c r="D128" s="300"/>
      <c r="E128" s="300"/>
      <c r="F128" s="300">
        <f>SUM(F124:F127)</f>
        <v>0</v>
      </c>
      <c r="G128" s="300"/>
      <c r="H128" s="300">
        <f>SUM(H124:H127)</f>
        <v>249079</v>
      </c>
      <c r="I128" s="300"/>
      <c r="J128" s="300">
        <f>SUM(J124:J127)</f>
        <v>0</v>
      </c>
      <c r="K128" s="300"/>
      <c r="L128" s="300">
        <f>J128+H128+F128</f>
        <v>249079</v>
      </c>
      <c r="M128" s="297" t="s">
        <v>44</v>
      </c>
    </row>
    <row r="129" spans="1:13" s="291" customFormat="1" ht="21" customHeight="1">
      <c r="A129" s="305"/>
      <c r="B129" s="305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7"/>
    </row>
    <row r="130" spans="1:13" s="291" customFormat="1" ht="21" customHeight="1">
      <c r="A130" s="452" t="s">
        <v>419</v>
      </c>
      <c r="B130" s="453"/>
      <c r="C130" s="453"/>
      <c r="D130" s="453"/>
      <c r="E130" s="453"/>
      <c r="F130" s="453"/>
      <c r="G130" s="453"/>
      <c r="H130" s="453"/>
      <c r="I130" s="453"/>
      <c r="J130" s="453"/>
      <c r="K130" s="453"/>
      <c r="L130" s="453"/>
      <c r="M130" s="454"/>
    </row>
    <row r="131" spans="1:13" s="291" customFormat="1" ht="21" customHeight="1">
      <c r="A131" s="302" t="s">
        <v>69</v>
      </c>
      <c r="B131" s="301"/>
      <c r="C131" s="294">
        <f>산출근거!F24</f>
        <v>2.4</v>
      </c>
      <c r="D131" s="303" t="s">
        <v>73</v>
      </c>
      <c r="E131" s="296"/>
      <c r="F131" s="296"/>
      <c r="G131" s="296">
        <f>엔지니어링임금실태조사표!$K$7</f>
        <v>373353</v>
      </c>
      <c r="H131" s="296">
        <f>TRUNC(G131*C131)</f>
        <v>896047</v>
      </c>
      <c r="I131" s="296"/>
      <c r="J131" s="296"/>
      <c r="K131" s="296">
        <f>G131+E131+I131</f>
        <v>373353</v>
      </c>
      <c r="L131" s="296">
        <f>J131+H131+F131</f>
        <v>896047</v>
      </c>
      <c r="M131" s="297" t="s">
        <v>422</v>
      </c>
    </row>
    <row r="132" spans="1:13" s="291" customFormat="1" ht="21" customHeight="1">
      <c r="A132" s="302" t="s">
        <v>70</v>
      </c>
      <c r="B132" s="301"/>
      <c r="C132" s="294">
        <f>산출근거!G24</f>
        <v>3.12</v>
      </c>
      <c r="D132" s="303" t="s">
        <v>73</v>
      </c>
      <c r="E132" s="296"/>
      <c r="F132" s="296"/>
      <c r="G132" s="296">
        <f>엔지니어링임금실태조사표!$K$8</f>
        <v>310884</v>
      </c>
      <c r="H132" s="296">
        <f>TRUNC(G132*C132)</f>
        <v>969958</v>
      </c>
      <c r="I132" s="296"/>
      <c r="J132" s="296"/>
      <c r="K132" s="296">
        <f>G132+E132+I132</f>
        <v>310884</v>
      </c>
      <c r="L132" s="296">
        <f>J132+H132+F132</f>
        <v>969958</v>
      </c>
      <c r="M132" s="297" t="s">
        <v>422</v>
      </c>
    </row>
    <row r="133" spans="1:13" s="291" customFormat="1" ht="21" customHeight="1">
      <c r="A133" s="302" t="s">
        <v>71</v>
      </c>
      <c r="B133" s="301"/>
      <c r="C133" s="294">
        <f>산출근거!H24</f>
        <v>2.08</v>
      </c>
      <c r="D133" s="303" t="s">
        <v>74</v>
      </c>
      <c r="E133" s="296"/>
      <c r="F133" s="296"/>
      <c r="G133" s="296">
        <f>엔지니어링임금실태조사표!$K$9</f>
        <v>295138</v>
      </c>
      <c r="H133" s="296">
        <f>TRUNC(G133*C133)</f>
        <v>613887</v>
      </c>
      <c r="I133" s="296"/>
      <c r="J133" s="296"/>
      <c r="K133" s="296">
        <f t="shared" ref="K133:K134" si="38">G133+E133+I133</f>
        <v>295138</v>
      </c>
      <c r="L133" s="296">
        <f t="shared" ref="L133:L134" si="39">J133+H133+F133</f>
        <v>613887</v>
      </c>
      <c r="M133" s="297" t="s">
        <v>422</v>
      </c>
    </row>
    <row r="134" spans="1:13" s="291" customFormat="1" ht="21" customHeight="1">
      <c r="A134" s="302" t="s">
        <v>75</v>
      </c>
      <c r="B134" s="309"/>
      <c r="C134" s="294">
        <f>산출근거!I24</f>
        <v>1.31</v>
      </c>
      <c r="D134" s="303" t="s">
        <v>74</v>
      </c>
      <c r="E134" s="296"/>
      <c r="F134" s="296"/>
      <c r="G134" s="296">
        <f>엔지니어링임금실태조사표!$K$10</f>
        <v>235459</v>
      </c>
      <c r="H134" s="296">
        <f>TRUNC(G134*C134)</f>
        <v>308451</v>
      </c>
      <c r="I134" s="296"/>
      <c r="J134" s="296"/>
      <c r="K134" s="296">
        <f t="shared" si="38"/>
        <v>235459</v>
      </c>
      <c r="L134" s="296">
        <f t="shared" si="39"/>
        <v>308451</v>
      </c>
      <c r="M134" s="297" t="s">
        <v>422</v>
      </c>
    </row>
    <row r="135" spans="1:13" s="291" customFormat="1" ht="21" customHeight="1">
      <c r="A135" s="298" t="s">
        <v>72</v>
      </c>
      <c r="B135" s="299"/>
      <c r="C135" s="300"/>
      <c r="D135" s="300"/>
      <c r="E135" s="300"/>
      <c r="F135" s="300">
        <f>SUM(F132:F134)</f>
        <v>0</v>
      </c>
      <c r="G135" s="300"/>
      <c r="H135" s="300">
        <f>SUM(H132:H134)</f>
        <v>1892296</v>
      </c>
      <c r="I135" s="300"/>
      <c r="J135" s="300">
        <f>SUM(J132:J134)</f>
        <v>0</v>
      </c>
      <c r="K135" s="300"/>
      <c r="L135" s="300">
        <f>J135+H135+F135</f>
        <v>1892296</v>
      </c>
      <c r="M135" s="297"/>
    </row>
    <row r="136" spans="1:13" s="291" customFormat="1" ht="21" customHeight="1">
      <c r="A136" s="310"/>
      <c r="B136" s="305"/>
      <c r="C136" s="306"/>
      <c r="D136" s="306"/>
      <c r="E136" s="306"/>
      <c r="F136" s="306"/>
      <c r="G136" s="306"/>
      <c r="H136" s="306"/>
      <c r="I136" s="306"/>
      <c r="J136" s="306"/>
      <c r="K136" s="306"/>
      <c r="L136" s="306"/>
      <c r="M136" s="307"/>
    </row>
  </sheetData>
  <mergeCells count="26">
    <mergeCell ref="A107:M107"/>
    <mergeCell ref="A114:M114"/>
    <mergeCell ref="A123:M123"/>
    <mergeCell ref="A130:M130"/>
    <mergeCell ref="A2:M2"/>
    <mergeCell ref="I4:J4"/>
    <mergeCell ref="K4:L4"/>
    <mergeCell ref="M4:M5"/>
    <mergeCell ref="A4:A5"/>
    <mergeCell ref="B4:B5"/>
    <mergeCell ref="C4:C5"/>
    <mergeCell ref="D4:D5"/>
    <mergeCell ref="E4:F4"/>
    <mergeCell ref="G4:H4"/>
    <mergeCell ref="A100:M100"/>
    <mergeCell ref="A93:M93"/>
    <mergeCell ref="A6:M6"/>
    <mergeCell ref="A24:M24"/>
    <mergeCell ref="A38:M38"/>
    <mergeCell ref="A13:M13"/>
    <mergeCell ref="A31:M31"/>
    <mergeCell ref="A45:M45"/>
    <mergeCell ref="A72:M72"/>
    <mergeCell ref="A79:M79"/>
    <mergeCell ref="A57:M57"/>
    <mergeCell ref="A86:M86"/>
  </mergeCells>
  <phoneticPr fontId="1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&amp;C일위대가표 -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X85"/>
  <sheetViews>
    <sheetView view="pageBreakPreview" topLeftCell="A3" zoomScale="85" zoomScaleNormal="100" zoomScaleSheetLayoutView="85" workbookViewId="0">
      <selection activeCell="C6" sqref="C6"/>
    </sheetView>
  </sheetViews>
  <sheetFormatPr defaultRowHeight="16.5"/>
  <cols>
    <col min="3" max="3" width="12.125" customWidth="1"/>
    <col min="4" max="4" width="7.875" bestFit="1" customWidth="1"/>
    <col min="5" max="5" width="9.25" customWidth="1"/>
    <col min="6" max="9" width="10.75" customWidth="1"/>
    <col min="10" max="10" width="8.5" customWidth="1"/>
    <col min="11" max="11" width="15.25" customWidth="1"/>
    <col min="12" max="12" width="25.125" customWidth="1"/>
    <col min="13" max="13" width="9.875" bestFit="1" customWidth="1"/>
  </cols>
  <sheetData>
    <row r="1" spans="1:24" ht="20.25" customHeight="1">
      <c r="A1" s="14" t="str">
        <f>일위대가표!A1</f>
        <v>2026년 국도 침하 취약구간 GPR탐사 및 통합관리시스템 구축 용역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4" ht="9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4" ht="26.25">
      <c r="A3" s="482" t="s">
        <v>116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198"/>
    </row>
    <row r="4" spans="1:24" ht="9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24" ht="20.25" customHeight="1">
      <c r="A5" t="s">
        <v>117</v>
      </c>
      <c r="C5" t="str">
        <f>총괄표지!B3</f>
        <v>2026년 국도 침하 취약구간 GPR탐사 및 통합관리시스템 구축 용역</v>
      </c>
    </row>
    <row r="6" spans="1:24" ht="20.25" customHeight="1">
      <c r="A6" t="s">
        <v>118</v>
      </c>
      <c r="C6" t="s">
        <v>119</v>
      </c>
      <c r="I6" s="15" t="s">
        <v>472</v>
      </c>
      <c r="J6" s="15" t="s">
        <v>470</v>
      </c>
      <c r="K6" s="15" t="s">
        <v>471</v>
      </c>
      <c r="L6" s="15" t="s">
        <v>28</v>
      </c>
    </row>
    <row r="7" spans="1:24" ht="20.25" customHeight="1">
      <c r="A7" t="s">
        <v>304</v>
      </c>
      <c r="C7" s="344">
        <f>K8</f>
        <v>2887</v>
      </c>
      <c r="D7" t="s">
        <v>305</v>
      </c>
      <c r="E7" s="175" t="s">
        <v>429</v>
      </c>
      <c r="F7" s="175"/>
      <c r="H7" t="s">
        <v>479</v>
      </c>
      <c r="I7" s="15">
        <v>800</v>
      </c>
      <c r="J7" s="351">
        <f>K7/I7</f>
        <v>3.4375</v>
      </c>
      <c r="K7" s="15">
        <v>2750</v>
      </c>
      <c r="L7" s="15" t="s">
        <v>476</v>
      </c>
    </row>
    <row r="8" spans="1:24" ht="20.25" customHeight="1">
      <c r="C8" s="345">
        <f>과업설명서!E15</f>
        <v>0</v>
      </c>
      <c r="D8" s="175" t="s">
        <v>7</v>
      </c>
      <c r="E8" s="175" t="s">
        <v>430</v>
      </c>
      <c r="H8" t="s">
        <v>480</v>
      </c>
      <c r="I8" s="15">
        <v>800</v>
      </c>
      <c r="J8" s="351">
        <f>K8/I8</f>
        <v>3.6087500000000001</v>
      </c>
      <c r="K8" s="15">
        <v>2887</v>
      </c>
      <c r="L8" s="15" t="s">
        <v>476</v>
      </c>
    </row>
    <row r="9" spans="1:24" ht="20.25" customHeight="1">
      <c r="A9" t="s">
        <v>320</v>
      </c>
      <c r="K9">
        <f>SUM(K7:K8)</f>
        <v>5637</v>
      </c>
    </row>
    <row r="10" spans="1:24" ht="20.25" customHeight="1">
      <c r="A10" t="s">
        <v>319</v>
      </c>
    </row>
    <row r="11" spans="1:24" ht="20.25" customHeight="1">
      <c r="A11" t="s">
        <v>120</v>
      </c>
    </row>
    <row r="12" spans="1:24" ht="20.25" customHeight="1"/>
    <row r="13" spans="1:24" ht="20.25" customHeight="1">
      <c r="A13" t="s">
        <v>321</v>
      </c>
      <c r="K13" s="198" t="s">
        <v>474</v>
      </c>
      <c r="L13" s="349">
        <v>0.95</v>
      </c>
    </row>
    <row r="14" spans="1:24" ht="20.25" customHeight="1">
      <c r="A14" t="s">
        <v>482</v>
      </c>
      <c r="K14" s="198" t="s">
        <v>473</v>
      </c>
      <c r="L14" s="347">
        <v>1</v>
      </c>
    </row>
    <row r="15" spans="1:24" ht="20.25" customHeight="1">
      <c r="A15" s="458" t="s">
        <v>39</v>
      </c>
      <c r="B15" s="458"/>
      <c r="C15" s="458"/>
      <c r="D15" s="458" t="s">
        <v>121</v>
      </c>
      <c r="E15" s="458" t="s">
        <v>122</v>
      </c>
      <c r="F15" s="458"/>
      <c r="G15" s="458"/>
      <c r="H15" s="458"/>
      <c r="I15" s="458"/>
      <c r="J15" s="458"/>
      <c r="K15" s="483" t="s">
        <v>123</v>
      </c>
      <c r="L15" s="484"/>
    </row>
    <row r="16" spans="1:24" ht="20.25" customHeight="1">
      <c r="A16" s="458"/>
      <c r="B16" s="458"/>
      <c r="C16" s="458"/>
      <c r="D16" s="458"/>
      <c r="E16" s="15" t="s">
        <v>124</v>
      </c>
      <c r="F16" s="15" t="s">
        <v>125</v>
      </c>
      <c r="G16" s="15" t="s">
        <v>126</v>
      </c>
      <c r="H16" s="15" t="s">
        <v>127</v>
      </c>
      <c r="I16" s="15" t="s">
        <v>128</v>
      </c>
      <c r="J16" s="15" t="s">
        <v>129</v>
      </c>
      <c r="K16" s="485"/>
      <c r="L16" s="486"/>
      <c r="N16" s="15" t="s">
        <v>437</v>
      </c>
      <c r="O16" s="15" t="s">
        <v>125</v>
      </c>
      <c r="P16" s="15" t="s">
        <v>126</v>
      </c>
      <c r="Q16" s="15" t="s">
        <v>127</v>
      </c>
      <c r="R16" s="15" t="s">
        <v>128</v>
      </c>
      <c r="T16" s="15" t="s">
        <v>439</v>
      </c>
      <c r="U16" s="15" t="s">
        <v>125</v>
      </c>
      <c r="V16" s="15" t="s">
        <v>126</v>
      </c>
      <c r="W16" s="15" t="s">
        <v>127</v>
      </c>
      <c r="X16" s="15" t="s">
        <v>128</v>
      </c>
    </row>
    <row r="17" spans="1:24" ht="24.95" customHeight="1">
      <c r="A17" s="470" t="s">
        <v>271</v>
      </c>
      <c r="B17" s="468" t="s">
        <v>266</v>
      </c>
      <c r="C17" s="469"/>
      <c r="D17" s="15" t="s">
        <v>265</v>
      </c>
      <c r="E17" s="17"/>
      <c r="F17" s="18">
        <v>0.5</v>
      </c>
      <c r="G17" s="18">
        <v>2</v>
      </c>
      <c r="H17" s="18">
        <v>2</v>
      </c>
      <c r="I17" s="18">
        <v>0.5</v>
      </c>
      <c r="J17" s="18"/>
      <c r="K17" s="258"/>
      <c r="L17" s="255"/>
      <c r="M17">
        <v>1</v>
      </c>
    </row>
    <row r="18" spans="1:24" ht="24.95" customHeight="1">
      <c r="A18" s="471"/>
      <c r="B18" s="473" t="s">
        <v>438</v>
      </c>
      <c r="C18" s="474"/>
      <c r="D18" s="326" t="s">
        <v>130</v>
      </c>
      <c r="E18" s="327"/>
      <c r="F18" s="327">
        <f t="shared" ref="F18" si="0">ROUND(U18/$T18*$M18,2)</f>
        <v>0</v>
      </c>
      <c r="G18" s="327">
        <f>ROUND(V18*$M18,2)</f>
        <v>0.05</v>
      </c>
      <c r="H18" s="327">
        <f>ROUND(W18*$M18,2)</f>
        <v>0.1</v>
      </c>
      <c r="I18" s="327">
        <f>ROUND(X18*$M18,2)</f>
        <v>0.1</v>
      </c>
      <c r="J18" s="312"/>
      <c r="K18" s="259"/>
      <c r="L18" s="255"/>
      <c r="M18" s="348">
        <f>L14</f>
        <v>1</v>
      </c>
      <c r="N18">
        <v>1</v>
      </c>
      <c r="O18">
        <v>0</v>
      </c>
      <c r="P18">
        <v>0.1</v>
      </c>
      <c r="Q18">
        <v>0.2</v>
      </c>
      <c r="R18">
        <v>0.2</v>
      </c>
      <c r="T18" s="203">
        <f>C7</f>
        <v>2887</v>
      </c>
      <c r="U18">
        <f t="shared" ref="U18:X19" si="1">IF($T18&gt;=1000,TRUNC(O18*(1000/1)^0.9/1000,2),TRUNC(O18*($T18/100)^0.9/$T18,2))</f>
        <v>0</v>
      </c>
      <c r="V18">
        <f t="shared" si="1"/>
        <v>0.05</v>
      </c>
      <c r="W18">
        <f t="shared" si="1"/>
        <v>0.1</v>
      </c>
      <c r="X18">
        <f t="shared" si="1"/>
        <v>0.1</v>
      </c>
    </row>
    <row r="19" spans="1:24" ht="24.95" customHeight="1">
      <c r="A19" s="471"/>
      <c r="B19" s="475" t="s">
        <v>267</v>
      </c>
      <c r="C19" s="476"/>
      <c r="D19" s="326" t="s">
        <v>130</v>
      </c>
      <c r="E19" s="327"/>
      <c r="F19" s="327">
        <f>ROUND(U19*$M19,2)</f>
        <v>0.24</v>
      </c>
      <c r="G19" s="327">
        <f>ROUND(V19*$M19,2)</f>
        <v>0.24</v>
      </c>
      <c r="H19" s="327">
        <f>ROUND(W19*$M19,2)</f>
        <v>0.1</v>
      </c>
      <c r="I19" s="327">
        <f t="shared" ref="I19" si="2">X19</f>
        <v>0</v>
      </c>
      <c r="J19" s="311"/>
      <c r="K19" s="259"/>
      <c r="L19" s="256"/>
      <c r="M19" s="348">
        <f>L13</f>
        <v>0.95</v>
      </c>
      <c r="N19">
        <v>1</v>
      </c>
      <c r="O19">
        <v>0.5</v>
      </c>
      <c r="P19">
        <v>0.5</v>
      </c>
      <c r="Q19">
        <v>0.2</v>
      </c>
      <c r="R19">
        <v>0</v>
      </c>
      <c r="T19" s="203">
        <f>C7</f>
        <v>2887</v>
      </c>
      <c r="U19">
        <f t="shared" si="1"/>
        <v>0.25</v>
      </c>
      <c r="V19">
        <f t="shared" si="1"/>
        <v>0.25</v>
      </c>
      <c r="W19">
        <f t="shared" si="1"/>
        <v>0.1</v>
      </c>
      <c r="X19">
        <f t="shared" si="1"/>
        <v>0</v>
      </c>
    </row>
    <row r="20" spans="1:24" ht="24.95" customHeight="1">
      <c r="A20" s="472"/>
      <c r="B20" s="468" t="s">
        <v>268</v>
      </c>
      <c r="C20" s="469"/>
      <c r="D20" s="15" t="s">
        <v>265</v>
      </c>
      <c r="E20" s="16"/>
      <c r="F20" s="197"/>
      <c r="G20" s="197"/>
      <c r="H20" s="197">
        <v>0.5</v>
      </c>
      <c r="I20" s="18"/>
      <c r="J20" s="18"/>
      <c r="K20" s="258"/>
      <c r="L20" s="257"/>
    </row>
    <row r="21" spans="1:24" ht="24.95" customHeight="1">
      <c r="A21" s="477" t="s">
        <v>412</v>
      </c>
      <c r="B21" s="480" t="s">
        <v>413</v>
      </c>
      <c r="C21" s="481"/>
      <c r="D21" s="321" t="s">
        <v>265</v>
      </c>
      <c r="E21" s="322"/>
      <c r="F21" s="323">
        <v>3.8</v>
      </c>
      <c r="G21" s="323">
        <v>3.22</v>
      </c>
      <c r="H21" s="323">
        <v>1.9</v>
      </c>
      <c r="I21" s="323">
        <v>0.9</v>
      </c>
      <c r="J21" s="272"/>
      <c r="K21" s="258"/>
      <c r="L21" s="255"/>
      <c r="M21">
        <v>1</v>
      </c>
    </row>
    <row r="22" spans="1:24" ht="24.95" customHeight="1">
      <c r="A22" s="478"/>
      <c r="B22" s="480" t="s">
        <v>431</v>
      </c>
      <c r="C22" s="481"/>
      <c r="D22" s="321" t="s">
        <v>130</v>
      </c>
      <c r="E22" s="323"/>
      <c r="F22" s="323">
        <f>TRUNC((10.9/50)*M22,3)</f>
        <v>0.218</v>
      </c>
      <c r="G22" s="323">
        <f>TRUNC((20.31/50)*M22,3)</f>
        <v>0.40600000000000003</v>
      </c>
      <c r="H22" s="323">
        <f>TRUNC((19.69/50)*M22,3)</f>
        <v>0.39300000000000002</v>
      </c>
      <c r="I22" s="323">
        <f>TRUNC((23.4/50)*M22,3)</f>
        <v>0.46800000000000003</v>
      </c>
      <c r="J22" s="273"/>
      <c r="K22" s="259"/>
      <c r="L22" s="255"/>
      <c r="M22" s="271">
        <v>1</v>
      </c>
    </row>
    <row r="23" spans="1:24" ht="24.95" customHeight="1">
      <c r="A23" s="478"/>
      <c r="B23" s="480" t="s">
        <v>414</v>
      </c>
      <c r="C23" s="481"/>
      <c r="D23" s="321" t="s">
        <v>130</v>
      </c>
      <c r="E23" s="323"/>
      <c r="F23" s="323">
        <f>TRUNC((12.56/50)*M23,2)</f>
        <v>0.25</v>
      </c>
      <c r="G23" s="323">
        <f>TRUNC((13.43/50)*M23,2)</f>
        <v>0.26</v>
      </c>
      <c r="H23" s="323">
        <f>TRUNC((9.94/50)*M23,2)</f>
        <v>0.19</v>
      </c>
      <c r="I23" s="323">
        <f>TRUNC((4.37/50)*M23,2)</f>
        <v>0.08</v>
      </c>
      <c r="J23" s="272"/>
      <c r="K23" s="259"/>
      <c r="L23" s="256"/>
      <c r="M23" s="271">
        <v>1</v>
      </c>
    </row>
    <row r="24" spans="1:24" ht="24.95" customHeight="1">
      <c r="A24" s="479"/>
      <c r="B24" s="480" t="s">
        <v>415</v>
      </c>
      <c r="C24" s="481"/>
      <c r="D24" s="321" t="s">
        <v>265</v>
      </c>
      <c r="E24" s="324"/>
      <c r="F24" s="325">
        <v>2.4</v>
      </c>
      <c r="G24" s="325">
        <v>3.12</v>
      </c>
      <c r="H24" s="325">
        <v>2.08</v>
      </c>
      <c r="I24" s="323">
        <v>1.31</v>
      </c>
      <c r="J24" s="272"/>
      <c r="K24" s="258"/>
      <c r="L24" s="257"/>
    </row>
    <row r="25" spans="1:24" ht="24.95" customHeight="1">
      <c r="A25" s="470" t="s">
        <v>272</v>
      </c>
      <c r="B25" s="468" t="s">
        <v>269</v>
      </c>
      <c r="C25" s="469"/>
      <c r="D25" s="15" t="s">
        <v>265</v>
      </c>
      <c r="E25" s="16"/>
      <c r="F25" s="197"/>
      <c r="G25" s="197"/>
      <c r="H25" s="197">
        <v>0.2</v>
      </c>
      <c r="I25" s="197"/>
      <c r="J25" s="18"/>
      <c r="K25" s="258"/>
      <c r="L25" s="257"/>
    </row>
    <row r="26" spans="1:24" ht="24.95" customHeight="1">
      <c r="A26" s="471"/>
      <c r="B26" s="468" t="s">
        <v>270</v>
      </c>
      <c r="C26" s="469"/>
      <c r="D26" s="15" t="s">
        <v>131</v>
      </c>
      <c r="E26" s="17"/>
      <c r="F26" s="18">
        <v>0.5</v>
      </c>
      <c r="G26" s="18">
        <v>0.5</v>
      </c>
      <c r="H26" s="18"/>
      <c r="I26" s="18"/>
      <c r="J26" s="17"/>
      <c r="K26" s="258"/>
      <c r="L26" s="255"/>
      <c r="M26">
        <v>1</v>
      </c>
    </row>
    <row r="27" spans="1:24" ht="24.95" customHeight="1">
      <c r="A27" s="471"/>
      <c r="B27" s="468" t="s">
        <v>275</v>
      </c>
      <c r="C27" s="469"/>
      <c r="D27" s="15" t="s">
        <v>131</v>
      </c>
      <c r="E27" s="17"/>
      <c r="F27" s="18"/>
      <c r="G27" s="18">
        <v>0.5</v>
      </c>
      <c r="H27" s="18">
        <v>0.5</v>
      </c>
      <c r="I27" s="18">
        <v>0.5</v>
      </c>
      <c r="J27" s="17"/>
      <c r="K27" s="258"/>
      <c r="L27" s="256"/>
      <c r="M27">
        <v>1</v>
      </c>
    </row>
    <row r="28" spans="1:24" ht="24.95" customHeight="1">
      <c r="A28" s="472"/>
      <c r="B28" s="468" t="s">
        <v>294</v>
      </c>
      <c r="C28" s="469"/>
      <c r="D28" s="15" t="s">
        <v>265</v>
      </c>
      <c r="E28" s="17"/>
      <c r="F28" s="18"/>
      <c r="G28" s="18"/>
      <c r="H28" s="18">
        <v>0.5</v>
      </c>
      <c r="I28" s="18"/>
      <c r="J28" s="17"/>
      <c r="K28" s="258"/>
      <c r="L28" s="257"/>
    </row>
    <row r="29" spans="1:24" ht="24.95" customHeight="1">
      <c r="A29" s="162" t="s">
        <v>273</v>
      </c>
      <c r="B29" s="468" t="s">
        <v>295</v>
      </c>
      <c r="C29" s="469"/>
      <c r="D29" s="15" t="s">
        <v>265</v>
      </c>
      <c r="E29" s="18"/>
      <c r="F29" s="18">
        <v>0.5</v>
      </c>
      <c r="G29" s="18">
        <v>0.5</v>
      </c>
      <c r="H29" s="18">
        <v>0.5</v>
      </c>
      <c r="I29" s="18">
        <v>0.5</v>
      </c>
      <c r="J29" s="18"/>
      <c r="K29" s="258"/>
      <c r="L29" s="257"/>
    </row>
    <row r="30" spans="1:24" ht="20.25" customHeight="1">
      <c r="A30" s="19"/>
      <c r="B30" s="19"/>
      <c r="C30" s="19"/>
      <c r="D30" s="19"/>
      <c r="E30" s="20"/>
      <c r="F30" s="20"/>
      <c r="G30" s="20"/>
      <c r="H30" s="20"/>
      <c r="I30" s="20"/>
      <c r="J30" s="20"/>
      <c r="K30" s="19"/>
      <c r="L30" s="19"/>
    </row>
    <row r="31" spans="1:24" ht="20.25" customHeight="1">
      <c r="A31" s="139" t="s">
        <v>344</v>
      </c>
      <c r="B31" s="19"/>
      <c r="C31" s="19"/>
      <c r="D31" s="19"/>
      <c r="E31" s="163">
        <f>I32</f>
        <v>288</v>
      </c>
      <c r="F31" s="20" t="s">
        <v>52</v>
      </c>
      <c r="G31" s="20"/>
      <c r="H31" s="20"/>
      <c r="I31" s="20"/>
      <c r="J31" s="20"/>
      <c r="K31" s="19"/>
      <c r="L31" s="19"/>
    </row>
    <row r="32" spans="1:24" ht="20.25" customHeight="1">
      <c r="A32" s="139" t="s">
        <v>445</v>
      </c>
      <c r="B32" s="19"/>
      <c r="C32" s="19"/>
      <c r="D32" s="164" t="s">
        <v>132</v>
      </c>
      <c r="E32" s="346">
        <f>C7+C8</f>
        <v>2887</v>
      </c>
      <c r="F32" s="165" t="s">
        <v>133</v>
      </c>
      <c r="G32" s="332">
        <v>0.1</v>
      </c>
      <c r="H32" s="164" t="s">
        <v>132</v>
      </c>
      <c r="I32" s="163">
        <f>TRUNC(E32*G32)</f>
        <v>288</v>
      </c>
      <c r="J32" s="20"/>
      <c r="K32" s="19"/>
      <c r="L32" s="19"/>
    </row>
    <row r="33" spans="1:18" ht="20.25" customHeight="1">
      <c r="A33" s="139" t="s">
        <v>446</v>
      </c>
      <c r="B33" s="19"/>
      <c r="C33" s="19"/>
      <c r="D33" s="19"/>
      <c r="E33" s="20"/>
      <c r="F33" s="20"/>
      <c r="G33" s="20"/>
      <c r="H33" s="20"/>
      <c r="I33" s="20"/>
      <c r="J33" s="20"/>
      <c r="K33" s="19"/>
      <c r="L33" s="19"/>
    </row>
    <row r="34" spans="1:18" ht="20.25" customHeight="1">
      <c r="A34" s="139"/>
      <c r="B34" s="19"/>
      <c r="C34" s="166"/>
      <c r="D34" s="20"/>
      <c r="E34" s="20"/>
      <c r="F34" s="166"/>
      <c r="G34" s="20"/>
      <c r="H34" s="166"/>
      <c r="I34" s="19"/>
    </row>
    <row r="35" spans="1:18" ht="20.25" customHeight="1">
      <c r="A35" s="159" t="s">
        <v>345</v>
      </c>
      <c r="B35" s="159"/>
      <c r="C35" s="159"/>
      <c r="D35" s="159"/>
      <c r="E35" s="20"/>
      <c r="F35" s="159"/>
      <c r="G35" s="159"/>
      <c r="H35" s="159"/>
      <c r="I35" s="159"/>
      <c r="J35" s="159"/>
      <c r="K35" s="160"/>
      <c r="L35" s="160"/>
      <c r="M35" s="160"/>
      <c r="N35" s="160">
        <v>0.12</v>
      </c>
      <c r="O35" s="160"/>
      <c r="P35" s="160"/>
    </row>
    <row r="36" spans="1:18" ht="20.25" customHeight="1">
      <c r="A36" s="159" t="s">
        <v>346</v>
      </c>
      <c r="B36" s="159"/>
      <c r="C36" s="161"/>
      <c r="D36" s="159"/>
      <c r="E36" s="20">
        <f>E31</f>
        <v>288</v>
      </c>
      <c r="F36" s="159" t="s">
        <v>52</v>
      </c>
      <c r="G36" s="159"/>
      <c r="H36" s="159"/>
      <c r="I36" s="159"/>
      <c r="J36" s="159"/>
      <c r="K36" s="160"/>
      <c r="L36" s="160"/>
      <c r="M36" s="160"/>
      <c r="N36" s="160"/>
      <c r="O36" s="160"/>
      <c r="P36" s="160"/>
    </row>
    <row r="37" spans="1:18" ht="20.25" customHeight="1">
      <c r="A37" s="159" t="s">
        <v>347</v>
      </c>
      <c r="B37" s="159"/>
      <c r="C37" s="159"/>
      <c r="D37" s="159"/>
      <c r="E37" s="20"/>
      <c r="F37" s="159"/>
      <c r="G37" s="159"/>
      <c r="H37" s="159"/>
      <c r="I37" s="159"/>
      <c r="J37" s="159"/>
      <c r="K37" s="160"/>
      <c r="L37" s="160"/>
      <c r="M37" s="160"/>
      <c r="N37" s="160"/>
      <c r="O37" s="160"/>
      <c r="P37" s="160"/>
    </row>
    <row r="38" spans="1:18" ht="20.25" customHeight="1">
      <c r="A38" s="159" t="s">
        <v>134</v>
      </c>
      <c r="B38" s="159"/>
      <c r="C38" s="159"/>
      <c r="D38" s="159"/>
      <c r="E38" s="167">
        <v>0.06</v>
      </c>
      <c r="F38" s="159" t="s">
        <v>135</v>
      </c>
      <c r="G38" s="168" t="s">
        <v>331</v>
      </c>
      <c r="H38" s="159"/>
      <c r="I38" s="159"/>
      <c r="J38" s="159"/>
      <c r="K38" s="160"/>
      <c r="L38" s="160"/>
      <c r="M38" s="160"/>
      <c r="N38" s="160">
        <v>0.25</v>
      </c>
      <c r="O38" s="160">
        <v>0.2</v>
      </c>
      <c r="P38" s="160">
        <v>1.2</v>
      </c>
      <c r="R38" s="203">
        <f>N38*O38*P38</f>
        <v>0.06</v>
      </c>
    </row>
    <row r="39" spans="1:18" ht="20.25" customHeight="1">
      <c r="A39" s="159" t="s">
        <v>136</v>
      </c>
      <c r="B39" s="159"/>
      <c r="C39" s="159"/>
      <c r="D39" s="159"/>
      <c r="E39" s="163">
        <v>30</v>
      </c>
      <c r="F39" s="159" t="s">
        <v>137</v>
      </c>
      <c r="G39" s="168"/>
      <c r="H39" s="159"/>
      <c r="I39" s="159"/>
      <c r="J39" s="159"/>
      <c r="K39" s="160"/>
      <c r="L39" s="160"/>
      <c r="M39" s="160"/>
      <c r="N39" s="160"/>
      <c r="O39" s="160"/>
      <c r="P39" s="160"/>
    </row>
    <row r="40" spans="1:18" ht="20.25" customHeight="1">
      <c r="A40" s="159" t="s">
        <v>138</v>
      </c>
      <c r="B40" s="159"/>
      <c r="C40" s="159"/>
      <c r="D40" s="159"/>
      <c r="E40" s="20"/>
      <c r="F40" s="159"/>
      <c r="G40" s="168" t="s">
        <v>139</v>
      </c>
      <c r="H40" s="159"/>
      <c r="I40" s="159"/>
      <c r="J40" s="159"/>
      <c r="K40" s="160"/>
      <c r="L40" s="160"/>
      <c r="M40" s="160"/>
      <c r="N40" s="160"/>
      <c r="O40" s="160"/>
      <c r="P40" s="160"/>
    </row>
    <row r="41" spans="1:18" ht="20.25" customHeight="1">
      <c r="A41" s="159" t="s">
        <v>140</v>
      </c>
      <c r="B41" s="159" t="s">
        <v>24</v>
      </c>
      <c r="C41" s="159" t="s">
        <v>102</v>
      </c>
      <c r="D41" s="159"/>
      <c r="E41" s="159">
        <v>45.01</v>
      </c>
      <c r="F41" s="159" t="s">
        <v>141</v>
      </c>
      <c r="G41" s="168" t="s">
        <v>332</v>
      </c>
      <c r="H41" s="159"/>
      <c r="I41" s="159"/>
      <c r="J41" s="159"/>
      <c r="K41" s="160"/>
      <c r="L41" s="160"/>
      <c r="M41" s="160"/>
      <c r="N41" s="160">
        <v>0.06</v>
      </c>
      <c r="O41" s="160">
        <v>1.333</v>
      </c>
      <c r="P41" s="160">
        <v>1000</v>
      </c>
      <c r="Q41">
        <f>N41/O41*P41</f>
        <v>45.011252813203299</v>
      </c>
    </row>
    <row r="42" spans="1:18" ht="20.25" customHeight="1">
      <c r="A42" s="159"/>
      <c r="B42" s="159"/>
      <c r="C42" s="159"/>
      <c r="D42" s="159"/>
      <c r="E42" s="159"/>
      <c r="F42" s="159"/>
      <c r="G42" s="168"/>
      <c r="H42" s="159"/>
      <c r="I42" s="159"/>
      <c r="J42" s="159"/>
      <c r="K42" s="160"/>
      <c r="L42" s="160"/>
      <c r="M42" s="160"/>
      <c r="N42" s="160"/>
      <c r="O42" s="160"/>
      <c r="P42" s="160"/>
    </row>
    <row r="43" spans="1:18" ht="20.25" customHeight="1">
      <c r="A43" s="159"/>
      <c r="B43" s="159"/>
      <c r="C43" s="159" t="s">
        <v>104</v>
      </c>
      <c r="D43" s="159"/>
      <c r="E43" s="213">
        <f>Q43</f>
        <v>0.4501</v>
      </c>
      <c r="F43" s="159" t="s">
        <v>142</v>
      </c>
      <c r="G43" s="168" t="s">
        <v>333</v>
      </c>
      <c r="H43" s="159"/>
      <c r="I43" s="159"/>
      <c r="J43" s="159"/>
      <c r="K43" s="160"/>
      <c r="L43" s="160"/>
      <c r="M43" s="160"/>
      <c r="N43" s="160">
        <v>45.01</v>
      </c>
      <c r="O43" s="160">
        <v>100</v>
      </c>
      <c r="P43" s="160"/>
      <c r="Q43">
        <f>N43/O43</f>
        <v>0.4501</v>
      </c>
    </row>
    <row r="44" spans="1:18" ht="20.25" customHeight="1">
      <c r="A44" s="159" t="s">
        <v>143</v>
      </c>
      <c r="B44" s="159"/>
      <c r="C44" s="159" t="s">
        <v>144</v>
      </c>
      <c r="D44" s="159"/>
      <c r="E44" s="159">
        <f>2*0.5/8</f>
        <v>0.125</v>
      </c>
      <c r="F44" s="159" t="s">
        <v>68</v>
      </c>
      <c r="G44" s="168" t="s">
        <v>145</v>
      </c>
      <c r="H44" s="159"/>
      <c r="I44" s="159"/>
      <c r="J44" s="159"/>
      <c r="K44" s="160"/>
      <c r="L44" s="160"/>
      <c r="M44" s="160"/>
      <c r="N44" s="160">
        <v>2</v>
      </c>
      <c r="O44" s="160">
        <v>0.5</v>
      </c>
      <c r="P44" s="160">
        <v>8</v>
      </c>
    </row>
    <row r="45" spans="1:18" ht="20.25" customHeight="1">
      <c r="A45" s="159" t="s">
        <v>146</v>
      </c>
      <c r="B45" s="159"/>
      <c r="C45" s="159" t="s">
        <v>147</v>
      </c>
      <c r="D45" s="159"/>
      <c r="E45" s="159">
        <v>0.02</v>
      </c>
      <c r="F45" s="159" t="s">
        <v>57</v>
      </c>
      <c r="G45" s="168"/>
      <c r="H45" s="159"/>
      <c r="I45" s="159"/>
      <c r="J45" s="159"/>
      <c r="K45" s="160"/>
      <c r="L45" s="160"/>
      <c r="M45" s="160"/>
      <c r="N45" s="160"/>
      <c r="O45" s="160"/>
      <c r="P45" s="160"/>
    </row>
    <row r="46" spans="1:18" ht="20.25" customHeight="1">
      <c r="A46" s="159" t="s">
        <v>348</v>
      </c>
      <c r="B46" s="159"/>
      <c r="C46" s="161"/>
      <c r="D46" s="159"/>
      <c r="E46" s="159"/>
      <c r="F46" s="159"/>
      <c r="G46" s="159"/>
      <c r="H46" s="159"/>
      <c r="I46" s="159"/>
      <c r="J46" s="159"/>
      <c r="K46" s="160"/>
      <c r="L46" s="160"/>
      <c r="M46" s="160"/>
      <c r="N46" s="160"/>
      <c r="O46" s="160"/>
      <c r="P46" s="160"/>
    </row>
    <row r="47" spans="1:18" ht="20.25" customHeight="1">
      <c r="A47" s="159" t="s">
        <v>148</v>
      </c>
      <c r="B47" s="159"/>
      <c r="C47" s="161"/>
      <c r="D47" s="159"/>
      <c r="E47" s="159"/>
      <c r="F47" s="159"/>
      <c r="G47" s="159"/>
      <c r="H47" s="159"/>
      <c r="I47" s="159"/>
      <c r="J47" s="159"/>
      <c r="K47" s="160"/>
      <c r="L47" s="160"/>
      <c r="M47" s="160"/>
      <c r="N47" s="160"/>
      <c r="O47" s="160"/>
      <c r="P47" s="160"/>
    </row>
    <row r="48" spans="1:18" ht="20.25" customHeight="1">
      <c r="A48" s="159" t="s">
        <v>349</v>
      </c>
      <c r="B48" s="159"/>
      <c r="C48" s="161"/>
      <c r="D48" s="159"/>
      <c r="E48" s="159"/>
      <c r="F48" s="159"/>
      <c r="G48" s="159"/>
      <c r="H48" s="159"/>
      <c r="I48" s="159"/>
      <c r="J48" s="159"/>
      <c r="K48" s="160"/>
      <c r="L48" s="160"/>
      <c r="M48" s="160"/>
      <c r="N48" s="160"/>
      <c r="O48" s="160"/>
      <c r="P48" s="160"/>
    </row>
    <row r="49" spans="1:16" ht="20.25" customHeight="1">
      <c r="A49" s="159" t="s">
        <v>334</v>
      </c>
      <c r="B49" s="159"/>
      <c r="C49" s="161"/>
      <c r="D49" s="159"/>
      <c r="E49" s="159"/>
      <c r="F49" s="159"/>
      <c r="G49" s="159"/>
      <c r="H49" s="159"/>
      <c r="I49" s="159"/>
      <c r="J49" s="159"/>
      <c r="K49" s="160"/>
      <c r="L49" s="160"/>
      <c r="M49" s="160"/>
      <c r="N49" s="160"/>
      <c r="O49" s="160"/>
      <c r="P49" s="160"/>
    </row>
    <row r="50" spans="1:16" ht="20.25" customHeight="1">
      <c r="A50" s="159" t="s">
        <v>149</v>
      </c>
      <c r="B50" s="159"/>
      <c r="C50" s="161"/>
      <c r="D50" s="159"/>
      <c r="E50" s="159"/>
      <c r="F50" s="159"/>
      <c r="G50" s="159"/>
      <c r="H50" s="159"/>
      <c r="I50" s="159"/>
      <c r="J50" s="159"/>
      <c r="K50" s="160"/>
      <c r="L50" s="160"/>
      <c r="M50" s="160"/>
      <c r="N50" s="160"/>
      <c r="O50" s="160"/>
      <c r="P50" s="160"/>
    </row>
    <row r="51" spans="1:16" ht="20.25" customHeight="1">
      <c r="A51" s="159" t="s">
        <v>150</v>
      </c>
      <c r="B51" s="159"/>
      <c r="C51" s="161"/>
      <c r="D51" s="159"/>
      <c r="E51" s="159"/>
      <c r="F51" s="159"/>
      <c r="G51" s="159"/>
      <c r="H51" s="159"/>
      <c r="I51" s="159"/>
      <c r="J51" s="159"/>
      <c r="K51" s="160"/>
      <c r="L51" s="160"/>
      <c r="M51" s="160"/>
      <c r="N51" s="160"/>
      <c r="O51" s="160"/>
      <c r="P51" s="160"/>
    </row>
    <row r="52" spans="1:16" ht="20.25" customHeight="1">
      <c r="A52" s="159"/>
      <c r="B52" s="159"/>
      <c r="C52" s="161"/>
      <c r="D52" s="159"/>
      <c r="E52" s="159"/>
      <c r="F52" s="159"/>
      <c r="G52" s="159"/>
      <c r="H52" s="159"/>
      <c r="I52" s="159"/>
      <c r="J52" s="159"/>
      <c r="K52" s="160"/>
      <c r="L52" s="160"/>
      <c r="M52" s="160"/>
      <c r="N52" s="160"/>
      <c r="O52" s="160"/>
      <c r="P52" s="160"/>
    </row>
    <row r="53" spans="1:16" ht="20.25" customHeight="1">
      <c r="A53" s="159" t="s">
        <v>350</v>
      </c>
      <c r="B53" s="159"/>
      <c r="C53" s="161"/>
      <c r="D53" s="159"/>
      <c r="E53" s="159"/>
      <c r="F53" s="159"/>
      <c r="G53" s="159"/>
      <c r="H53" s="159"/>
      <c r="I53" s="159"/>
      <c r="J53" s="159"/>
      <c r="K53" s="160"/>
      <c r="L53" s="160"/>
      <c r="M53" s="160"/>
      <c r="N53" s="160"/>
      <c r="O53" s="160"/>
      <c r="P53" s="160"/>
    </row>
    <row r="54" spans="1:16" ht="20.25" customHeight="1">
      <c r="A54" s="159" t="s">
        <v>335</v>
      </c>
      <c r="B54" s="159"/>
      <c r="C54" s="161"/>
      <c r="D54" s="159"/>
      <c r="E54" s="159"/>
      <c r="F54" s="159"/>
      <c r="G54" s="159"/>
      <c r="H54" s="159"/>
      <c r="I54" s="159"/>
      <c r="J54" s="159"/>
      <c r="K54" s="160"/>
      <c r="L54" s="160"/>
      <c r="M54" s="160"/>
      <c r="N54" s="160"/>
      <c r="O54" s="160"/>
      <c r="P54" s="160"/>
    </row>
    <row r="55" spans="1:16" ht="20.25" customHeight="1">
      <c r="A55" s="159" t="s">
        <v>151</v>
      </c>
      <c r="B55" s="159"/>
      <c r="C55" s="161"/>
      <c r="D55" s="159"/>
      <c r="E55" s="159"/>
      <c r="F55" s="159"/>
      <c r="G55" s="159"/>
      <c r="H55" s="159"/>
      <c r="I55" s="159"/>
      <c r="J55" s="159"/>
      <c r="K55" s="160"/>
      <c r="L55" s="160"/>
      <c r="M55" s="160"/>
      <c r="N55" s="160"/>
      <c r="O55" s="160"/>
      <c r="P55" s="160"/>
    </row>
    <row r="56" spans="1:16" ht="20.25" customHeight="1">
      <c r="A56" s="159" t="s">
        <v>338</v>
      </c>
      <c r="B56" s="159"/>
      <c r="C56" s="161"/>
      <c r="D56" s="159"/>
      <c r="E56" s="159"/>
      <c r="F56" s="159"/>
      <c r="G56" s="161" t="s">
        <v>339</v>
      </c>
      <c r="H56" s="159"/>
      <c r="I56" s="254">
        <f>2/4</f>
        <v>0.5</v>
      </c>
      <c r="J56" s="160" t="s">
        <v>411</v>
      </c>
      <c r="K56" s="159"/>
      <c r="L56" s="160"/>
      <c r="M56" s="160"/>
      <c r="N56" s="160"/>
      <c r="O56" s="160"/>
      <c r="P56" s="160"/>
    </row>
    <row r="57" spans="1:16" ht="20.25" customHeight="1">
      <c r="A57" s="159" t="s">
        <v>152</v>
      </c>
      <c r="B57" s="159"/>
      <c r="C57" s="161"/>
      <c r="D57" s="159"/>
      <c r="E57" s="159"/>
      <c r="F57" s="159"/>
      <c r="G57" s="159"/>
      <c r="H57" s="159"/>
      <c r="I57" s="159"/>
      <c r="J57" s="159"/>
      <c r="K57" s="160"/>
      <c r="L57" s="160"/>
      <c r="M57" s="160"/>
      <c r="N57" s="160"/>
      <c r="O57" s="160"/>
      <c r="P57" s="160"/>
    </row>
    <row r="58" spans="1:16" ht="20.25" customHeight="1">
      <c r="A58" s="159" t="s">
        <v>336</v>
      </c>
      <c r="B58" s="159"/>
      <c r="C58" s="161"/>
      <c r="D58" s="159"/>
      <c r="E58" s="159"/>
      <c r="F58" s="159"/>
      <c r="G58" s="159"/>
      <c r="H58" s="159"/>
      <c r="I58" s="170">
        <f>TRUNC(24*3%,3)</f>
        <v>0.72</v>
      </c>
      <c r="J58" s="159" t="s">
        <v>411</v>
      </c>
      <c r="K58" s="169"/>
      <c r="L58" s="160"/>
      <c r="M58" s="160"/>
      <c r="N58" s="160"/>
      <c r="O58" s="160"/>
      <c r="P58" s="160"/>
    </row>
    <row r="59" spans="1:16" ht="20.25" customHeight="1">
      <c r="A59" s="159" t="s">
        <v>337</v>
      </c>
      <c r="B59" s="159"/>
      <c r="C59" s="161"/>
      <c r="D59" s="159"/>
      <c r="E59" s="159"/>
      <c r="F59" s="159"/>
      <c r="G59" s="159"/>
      <c r="H59" s="159"/>
      <c r="I59" s="170">
        <f>TRUNC(2*3%,3)</f>
        <v>0.06</v>
      </c>
      <c r="J59" s="159" t="s">
        <v>411</v>
      </c>
      <c r="K59" s="169"/>
      <c r="L59" s="160"/>
      <c r="M59" s="160"/>
      <c r="N59" s="160"/>
      <c r="O59" s="160"/>
      <c r="P59" s="160"/>
    </row>
    <row r="65" spans="1:9" ht="20.25" customHeight="1"/>
    <row r="66" spans="1:9" ht="20.25" customHeight="1">
      <c r="A66" s="159" t="s">
        <v>452</v>
      </c>
    </row>
    <row r="67" spans="1:9" ht="20.25" customHeight="1">
      <c r="A67" t="s">
        <v>461</v>
      </c>
    </row>
    <row r="68" spans="1:9" ht="20.25" customHeight="1">
      <c r="A68" s="15" t="s">
        <v>22</v>
      </c>
      <c r="B68" s="458" t="s">
        <v>458</v>
      </c>
      <c r="C68" s="458"/>
      <c r="D68" s="15" t="s">
        <v>459</v>
      </c>
      <c r="E68" s="15" t="s">
        <v>460</v>
      </c>
      <c r="F68" s="458" t="s">
        <v>454</v>
      </c>
      <c r="G68" s="458"/>
      <c r="H68" s="458" t="s">
        <v>455</v>
      </c>
      <c r="I68" s="458"/>
    </row>
    <row r="69" spans="1:9" ht="20.25" customHeight="1">
      <c r="A69" s="459" t="s">
        <v>453</v>
      </c>
      <c r="B69" s="459" t="s">
        <v>125</v>
      </c>
      <c r="C69" s="459"/>
      <c r="D69" s="202">
        <v>1</v>
      </c>
      <c r="E69" s="202">
        <v>35</v>
      </c>
      <c r="F69" s="462">
        <f>엔지니어링임금실태조사표!K7</f>
        <v>373353</v>
      </c>
      <c r="G69" s="462"/>
      <c r="H69" s="467">
        <f>D69*E69*F69</f>
        <v>13067355</v>
      </c>
      <c r="I69" s="467"/>
    </row>
    <row r="70" spans="1:9" ht="20.25" customHeight="1">
      <c r="A70" s="459"/>
      <c r="B70" s="459" t="s">
        <v>126</v>
      </c>
      <c r="C70" s="459"/>
      <c r="D70" s="202">
        <v>1</v>
      </c>
      <c r="E70" s="202">
        <v>60</v>
      </c>
      <c r="F70" s="462">
        <f>엔지니어링임금실태조사표!K8</f>
        <v>310884</v>
      </c>
      <c r="G70" s="462"/>
      <c r="H70" s="467">
        <f t="shared" ref="H70:H72" si="3">D70*E70*F70</f>
        <v>18653040</v>
      </c>
      <c r="I70" s="467"/>
    </row>
    <row r="71" spans="1:9" ht="20.25" customHeight="1">
      <c r="A71" s="459"/>
      <c r="B71" s="459" t="s">
        <v>127</v>
      </c>
      <c r="C71" s="459"/>
      <c r="D71" s="202">
        <v>2</v>
      </c>
      <c r="E71" s="202">
        <v>80</v>
      </c>
      <c r="F71" s="462">
        <f>엔지니어링임금실태조사표!K9</f>
        <v>295138</v>
      </c>
      <c r="G71" s="462"/>
      <c r="H71" s="467">
        <f t="shared" si="3"/>
        <v>47222080</v>
      </c>
      <c r="I71" s="467"/>
    </row>
    <row r="72" spans="1:9" ht="20.25" customHeight="1">
      <c r="A72" s="459"/>
      <c r="B72" s="459" t="s">
        <v>128</v>
      </c>
      <c r="C72" s="459"/>
      <c r="D72" s="202">
        <v>2</v>
      </c>
      <c r="E72" s="202">
        <v>90</v>
      </c>
      <c r="F72" s="462">
        <f>엔지니어링임금실태조사표!K10</f>
        <v>235459</v>
      </c>
      <c r="G72" s="462"/>
      <c r="H72" s="467">
        <f t="shared" si="3"/>
        <v>42382620</v>
      </c>
      <c r="I72" s="467"/>
    </row>
    <row r="73" spans="1:9" ht="20.25" customHeight="1">
      <c r="A73" s="459" t="s">
        <v>457</v>
      </c>
      <c r="B73" s="459"/>
      <c r="C73" s="459"/>
      <c r="D73" s="202"/>
      <c r="E73" s="202"/>
      <c r="F73" s="458"/>
      <c r="G73" s="458"/>
      <c r="H73" s="463">
        <f>SUM(H69:I72)</f>
        <v>121325095</v>
      </c>
      <c r="I73" s="458"/>
    </row>
    <row r="74" spans="1:9" ht="20.25" customHeight="1">
      <c r="A74" s="459" t="s">
        <v>456</v>
      </c>
      <c r="B74" s="459" t="s">
        <v>125</v>
      </c>
      <c r="C74" s="459"/>
      <c r="D74" s="202">
        <v>1</v>
      </c>
      <c r="E74" s="202">
        <v>25</v>
      </c>
      <c r="F74" s="462">
        <f>F69</f>
        <v>373353</v>
      </c>
      <c r="G74" s="462"/>
      <c r="H74" s="467">
        <f t="shared" ref="H74:H77" si="4">D74*E74*F74</f>
        <v>9333825</v>
      </c>
      <c r="I74" s="467"/>
    </row>
    <row r="75" spans="1:9" ht="20.25" customHeight="1">
      <c r="A75" s="459"/>
      <c r="B75" s="459" t="s">
        <v>126</v>
      </c>
      <c r="C75" s="459"/>
      <c r="D75" s="202">
        <v>1</v>
      </c>
      <c r="E75" s="202">
        <v>32</v>
      </c>
      <c r="F75" s="462">
        <f>F70</f>
        <v>310884</v>
      </c>
      <c r="G75" s="462"/>
      <c r="H75" s="467">
        <f t="shared" si="4"/>
        <v>9948288</v>
      </c>
      <c r="I75" s="467"/>
    </row>
    <row r="76" spans="1:9" ht="20.25" customHeight="1">
      <c r="A76" s="459"/>
      <c r="B76" s="459" t="s">
        <v>127</v>
      </c>
      <c r="C76" s="459"/>
      <c r="D76" s="202">
        <v>2</v>
      </c>
      <c r="E76" s="202">
        <v>52</v>
      </c>
      <c r="F76" s="462">
        <f>F71</f>
        <v>295138</v>
      </c>
      <c r="G76" s="462"/>
      <c r="H76" s="467">
        <f t="shared" si="4"/>
        <v>30694352</v>
      </c>
      <c r="I76" s="467"/>
    </row>
    <row r="77" spans="1:9" ht="20.25" customHeight="1">
      <c r="A77" s="459"/>
      <c r="B77" s="459" t="s">
        <v>128</v>
      </c>
      <c r="C77" s="459"/>
      <c r="D77" s="202">
        <v>2</v>
      </c>
      <c r="E77" s="202">
        <v>60</v>
      </c>
      <c r="F77" s="462">
        <f>F72</f>
        <v>235459</v>
      </c>
      <c r="G77" s="462"/>
      <c r="H77" s="467">
        <f t="shared" si="4"/>
        <v>28255080</v>
      </c>
      <c r="I77" s="467"/>
    </row>
    <row r="78" spans="1:9" ht="20.25" customHeight="1">
      <c r="A78" s="458" t="s">
        <v>457</v>
      </c>
      <c r="B78" s="458"/>
      <c r="C78" s="458"/>
      <c r="D78" s="202"/>
      <c r="E78" s="202"/>
      <c r="F78" s="458"/>
      <c r="G78" s="458"/>
      <c r="H78" s="463">
        <f t="shared" ref="H78" si="5">SUM(H74:I77)</f>
        <v>78231545</v>
      </c>
      <c r="I78" s="463"/>
    </row>
    <row r="79" spans="1:9" ht="20.25" customHeight="1">
      <c r="A79" s="458" t="s">
        <v>450</v>
      </c>
      <c r="B79" s="458"/>
      <c r="C79" s="458"/>
      <c r="D79" s="202"/>
      <c r="E79" s="202"/>
      <c r="F79" s="460"/>
      <c r="G79" s="461"/>
      <c r="H79" s="463">
        <f>SUM(H78,H73)</f>
        <v>199556640</v>
      </c>
      <c r="I79" s="458"/>
    </row>
    <row r="80" spans="1:9" ht="20.25" customHeight="1"/>
    <row r="81" spans="1:9" ht="20.25" customHeight="1">
      <c r="A81" t="s">
        <v>462</v>
      </c>
      <c r="H81" s="464">
        <f>ROUND(H79*1.1,0)</f>
        <v>219512304</v>
      </c>
      <c r="I81" s="464"/>
    </row>
    <row r="82" spans="1:9" ht="20.25" customHeight="1"/>
    <row r="83" spans="1:9" ht="20.25" customHeight="1">
      <c r="A83" t="s">
        <v>463</v>
      </c>
      <c r="H83" s="464">
        <f>ROUND((H79+H81)*0.2,0)</f>
        <v>83813789</v>
      </c>
      <c r="I83" s="464"/>
    </row>
    <row r="84" spans="1:9" ht="20.25" customHeight="1"/>
    <row r="85" spans="1:9" ht="20.25" customHeight="1">
      <c r="A85" t="s">
        <v>464</v>
      </c>
      <c r="H85" s="465">
        <f>SUM(H79,H81,H83)</f>
        <v>502882733</v>
      </c>
      <c r="I85" s="466"/>
    </row>
  </sheetData>
  <mergeCells count="62">
    <mergeCell ref="A3:L3"/>
    <mergeCell ref="E15:J15"/>
    <mergeCell ref="A15:C16"/>
    <mergeCell ref="D15:D16"/>
    <mergeCell ref="K15:L16"/>
    <mergeCell ref="B29:C29"/>
    <mergeCell ref="A17:A20"/>
    <mergeCell ref="A25:A28"/>
    <mergeCell ref="B18:C18"/>
    <mergeCell ref="B17:C17"/>
    <mergeCell ref="B19:C19"/>
    <mergeCell ref="B20:C20"/>
    <mergeCell ref="B25:C25"/>
    <mergeCell ref="B26:C26"/>
    <mergeCell ref="B27:C27"/>
    <mergeCell ref="B28:C28"/>
    <mergeCell ref="A21:A24"/>
    <mergeCell ref="B21:C21"/>
    <mergeCell ref="B22:C22"/>
    <mergeCell ref="B23:C23"/>
    <mergeCell ref="B24:C24"/>
    <mergeCell ref="B74:C74"/>
    <mergeCell ref="H68:I68"/>
    <mergeCell ref="F70:G70"/>
    <mergeCell ref="F71:G71"/>
    <mergeCell ref="F72:G72"/>
    <mergeCell ref="H69:I69"/>
    <mergeCell ref="H70:I70"/>
    <mergeCell ref="H71:I71"/>
    <mergeCell ref="H72:I72"/>
    <mergeCell ref="A73:C73"/>
    <mergeCell ref="F69:G69"/>
    <mergeCell ref="B69:C69"/>
    <mergeCell ref="B70:C70"/>
    <mergeCell ref="B71:C71"/>
    <mergeCell ref="B72:C72"/>
    <mergeCell ref="H73:I73"/>
    <mergeCell ref="H78:I78"/>
    <mergeCell ref="H81:I81"/>
    <mergeCell ref="H83:I83"/>
    <mergeCell ref="H85:I85"/>
    <mergeCell ref="H74:I74"/>
    <mergeCell ref="H79:I79"/>
    <mergeCell ref="H75:I75"/>
    <mergeCell ref="H76:I76"/>
    <mergeCell ref="H77:I77"/>
    <mergeCell ref="B68:C68"/>
    <mergeCell ref="A69:A72"/>
    <mergeCell ref="A74:A77"/>
    <mergeCell ref="F68:G68"/>
    <mergeCell ref="F79:G79"/>
    <mergeCell ref="A78:C78"/>
    <mergeCell ref="A79:C79"/>
    <mergeCell ref="F73:G73"/>
    <mergeCell ref="F78:G78"/>
    <mergeCell ref="F74:G74"/>
    <mergeCell ref="F75:G75"/>
    <mergeCell ref="F76:G76"/>
    <mergeCell ref="F77:G77"/>
    <mergeCell ref="B75:C75"/>
    <mergeCell ref="B76:C76"/>
    <mergeCell ref="B77:C77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&amp;C산출근거 -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2"/>
  <sheetViews>
    <sheetView view="pageBreakPreview" zoomScaleNormal="100" zoomScaleSheetLayoutView="100" workbookViewId="0">
      <selection activeCell="C6" sqref="C6"/>
    </sheetView>
  </sheetViews>
  <sheetFormatPr defaultRowHeight="16.5"/>
  <cols>
    <col min="2" max="2" width="12.25" customWidth="1"/>
    <col min="3" max="3" width="19.375" bestFit="1" customWidth="1"/>
    <col min="8" max="8" width="21.25" customWidth="1"/>
  </cols>
  <sheetData>
    <row r="1" spans="1:8">
      <c r="A1" s="488" t="str">
        <f>총괄표지!B3</f>
        <v>2026년 국도 침하 취약구간 GPR탐사 및 통합관리시스템 구축 용역</v>
      </c>
      <c r="B1" s="488"/>
      <c r="C1" s="488"/>
      <c r="D1" s="488"/>
      <c r="E1" s="488"/>
      <c r="F1" s="488"/>
      <c r="G1" s="488"/>
      <c r="H1" s="488"/>
    </row>
    <row r="2" spans="1:8" ht="26.25">
      <c r="A2" s="489" t="s">
        <v>154</v>
      </c>
      <c r="B2" s="489"/>
      <c r="C2" s="489"/>
      <c r="D2" s="489"/>
      <c r="E2" s="489"/>
      <c r="F2" s="489"/>
      <c r="G2" s="489"/>
      <c r="H2" s="489"/>
    </row>
    <row r="3" spans="1:8" ht="16.5" customHeight="1">
      <c r="A3" s="104"/>
      <c r="B3" s="105"/>
      <c r="C3" s="105"/>
      <c r="D3" s="105"/>
      <c r="E3" s="105"/>
      <c r="F3" s="105"/>
      <c r="G3" s="105"/>
      <c r="H3" s="104"/>
    </row>
    <row r="4" spans="1:8" ht="30.75" customHeight="1" thickBot="1">
      <c r="A4" s="490" t="s">
        <v>155</v>
      </c>
      <c r="B4" s="492" t="s">
        <v>156</v>
      </c>
      <c r="C4" s="492" t="s">
        <v>157</v>
      </c>
      <c r="D4" s="492" t="s">
        <v>42</v>
      </c>
      <c r="E4" s="492" t="s">
        <v>158</v>
      </c>
      <c r="F4" s="492"/>
      <c r="G4" s="494"/>
      <c r="H4" s="495" t="s">
        <v>159</v>
      </c>
    </row>
    <row r="5" spans="1:8" ht="30.75" customHeight="1" thickBot="1">
      <c r="A5" s="491"/>
      <c r="B5" s="493"/>
      <c r="C5" s="493"/>
      <c r="D5" s="493"/>
      <c r="E5" s="106" t="s">
        <v>353</v>
      </c>
      <c r="F5" s="107" t="s">
        <v>160</v>
      </c>
      <c r="G5" s="108" t="s">
        <v>161</v>
      </c>
      <c r="H5" s="496"/>
    </row>
    <row r="6" spans="1:8" ht="30.75" customHeight="1" thickTop="1">
      <c r="A6" s="109" t="s">
        <v>162</v>
      </c>
      <c r="B6" s="110" t="s">
        <v>163</v>
      </c>
      <c r="C6" s="111" t="s">
        <v>164</v>
      </c>
      <c r="D6" s="112" t="s">
        <v>165</v>
      </c>
      <c r="E6" s="113">
        <v>1588</v>
      </c>
      <c r="F6" s="114"/>
      <c r="G6" s="115">
        <f t="shared" ref="G6:G12" si="0">MIN(E6:F6)</f>
        <v>1588</v>
      </c>
      <c r="H6" s="331" t="s">
        <v>444</v>
      </c>
    </row>
    <row r="7" spans="1:8" ht="30.75" customHeight="1">
      <c r="A7" s="487" t="s">
        <v>166</v>
      </c>
      <c r="B7" s="116" t="s">
        <v>167</v>
      </c>
      <c r="C7" s="117"/>
      <c r="D7" s="112" t="s">
        <v>165</v>
      </c>
      <c r="E7" s="118">
        <v>1669</v>
      </c>
      <c r="F7" s="119"/>
      <c r="G7" s="120">
        <f t="shared" si="0"/>
        <v>1669</v>
      </c>
      <c r="H7" s="331" t="s">
        <v>443</v>
      </c>
    </row>
    <row r="8" spans="1:8" ht="30.75" customHeight="1">
      <c r="A8" s="487"/>
      <c r="B8" s="116" t="s">
        <v>168</v>
      </c>
      <c r="C8" s="117" t="s">
        <v>355</v>
      </c>
      <c r="D8" s="121" t="s">
        <v>169</v>
      </c>
      <c r="E8" s="119">
        <v>1100</v>
      </c>
      <c r="F8" s="119"/>
      <c r="G8" s="120">
        <f t="shared" si="0"/>
        <v>1100</v>
      </c>
      <c r="H8" s="318" t="s">
        <v>354</v>
      </c>
    </row>
    <row r="9" spans="1:8" ht="30.75" customHeight="1">
      <c r="A9" s="487"/>
      <c r="B9" s="116" t="s">
        <v>356</v>
      </c>
      <c r="C9" s="117" t="s">
        <v>358</v>
      </c>
      <c r="D9" s="121" t="s">
        <v>170</v>
      </c>
      <c r="E9" s="122">
        <v>980</v>
      </c>
      <c r="F9" s="119"/>
      <c r="G9" s="120">
        <f t="shared" si="0"/>
        <v>980</v>
      </c>
      <c r="H9" s="319" t="s">
        <v>357</v>
      </c>
    </row>
    <row r="10" spans="1:8" ht="30.75" customHeight="1">
      <c r="A10" s="487"/>
      <c r="B10" s="116" t="s">
        <v>359</v>
      </c>
      <c r="C10" s="117" t="s">
        <v>387</v>
      </c>
      <c r="D10" s="121" t="s">
        <v>388</v>
      </c>
      <c r="E10" s="122"/>
      <c r="F10" s="119">
        <v>16000</v>
      </c>
      <c r="G10" s="120">
        <f t="shared" si="0"/>
        <v>16000</v>
      </c>
      <c r="H10" s="319" t="s">
        <v>389</v>
      </c>
    </row>
    <row r="11" spans="1:8" ht="30.75" customHeight="1">
      <c r="A11" s="487"/>
      <c r="B11" s="116" t="s">
        <v>171</v>
      </c>
      <c r="C11" s="124" t="s">
        <v>172</v>
      </c>
      <c r="D11" s="124" t="s">
        <v>173</v>
      </c>
      <c r="E11" s="125"/>
      <c r="F11" s="126">
        <v>11780</v>
      </c>
      <c r="G11" s="120">
        <f t="shared" si="0"/>
        <v>11780</v>
      </c>
      <c r="H11" s="123" t="s">
        <v>174</v>
      </c>
    </row>
    <row r="12" spans="1:8" ht="30.75" customHeight="1" thickBot="1">
      <c r="A12" s="487"/>
      <c r="B12" s="116" t="s">
        <v>175</v>
      </c>
      <c r="C12" s="124" t="s">
        <v>176</v>
      </c>
      <c r="D12" s="124" t="s">
        <v>173</v>
      </c>
      <c r="E12" s="125"/>
      <c r="F12" s="126">
        <v>34700</v>
      </c>
      <c r="G12" s="127">
        <f t="shared" si="0"/>
        <v>34700</v>
      </c>
      <c r="H12" s="123" t="s">
        <v>352</v>
      </c>
    </row>
  </sheetData>
  <mergeCells count="9">
    <mergeCell ref="A7:A12"/>
    <mergeCell ref="A1:H1"/>
    <mergeCell ref="A2:H2"/>
    <mergeCell ref="A4:A5"/>
    <mergeCell ref="B4:B5"/>
    <mergeCell ref="C4:C5"/>
    <mergeCell ref="D4:D5"/>
    <mergeCell ref="E4:G4"/>
    <mergeCell ref="H4:H5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view="pageBreakPreview" zoomScaleNormal="100" zoomScaleSheetLayoutView="100" workbookViewId="0">
      <selection activeCell="C6" sqref="C6"/>
    </sheetView>
  </sheetViews>
  <sheetFormatPr defaultRowHeight="16.5"/>
  <cols>
    <col min="1" max="1" width="5.125" customWidth="1"/>
    <col min="2" max="2" width="20" style="139" customWidth="1"/>
    <col min="3" max="3" width="17.875" style="139" customWidth="1"/>
    <col min="4" max="4" width="8.375" customWidth="1"/>
    <col min="5" max="6" width="11.5" bestFit="1" customWidth="1"/>
    <col min="7" max="7" width="10.125" customWidth="1"/>
    <col min="8" max="8" width="35.375" bestFit="1" customWidth="1"/>
    <col min="9" max="9" width="12.125" bestFit="1" customWidth="1"/>
    <col min="10" max="10" width="37.25" customWidth="1"/>
    <col min="11" max="11" width="21.75" customWidth="1"/>
  </cols>
  <sheetData>
    <row r="1" spans="1:10">
      <c r="A1" s="488" t="str">
        <f>총괄표지!B3</f>
        <v>2026년 국도 침하 취약구간 GPR탐사 및 통합관리시스템 구축 용역</v>
      </c>
      <c r="B1" s="488"/>
      <c r="C1" s="488"/>
      <c r="D1" s="488"/>
      <c r="E1" s="488"/>
      <c r="F1" s="488"/>
      <c r="G1" s="488"/>
      <c r="H1" s="488"/>
    </row>
    <row r="2" spans="1:10" ht="26.25">
      <c r="A2" s="489" t="s">
        <v>362</v>
      </c>
      <c r="B2" s="489"/>
      <c r="C2" s="489"/>
      <c r="D2" s="489"/>
      <c r="E2" s="489"/>
      <c r="F2" s="489"/>
      <c r="G2" s="489"/>
      <c r="H2" s="489"/>
    </row>
    <row r="3" spans="1:10" ht="21.75" customHeight="1">
      <c r="A3" s="104"/>
      <c r="B3" s="137"/>
      <c r="C3" s="137"/>
      <c r="D3" s="105"/>
      <c r="E3" s="105"/>
      <c r="F3" s="105"/>
      <c r="G3" s="105"/>
      <c r="H3" s="212" t="s">
        <v>315</v>
      </c>
    </row>
    <row r="4" spans="1:10" ht="29.25" thickBot="1">
      <c r="A4" s="128" t="s">
        <v>155</v>
      </c>
      <c r="B4" s="191" t="s">
        <v>156</v>
      </c>
      <c r="C4" s="191" t="s">
        <v>157</v>
      </c>
      <c r="D4" s="191" t="s">
        <v>42</v>
      </c>
      <c r="E4" s="128" t="s">
        <v>177</v>
      </c>
      <c r="F4" s="129" t="s">
        <v>178</v>
      </c>
      <c r="G4" s="128" t="s">
        <v>179</v>
      </c>
      <c r="H4" s="130" t="s">
        <v>180</v>
      </c>
    </row>
    <row r="5" spans="1:10" ht="29.25" customHeight="1" thickTop="1">
      <c r="A5" s="131">
        <v>1</v>
      </c>
      <c r="B5" s="138" t="s">
        <v>314</v>
      </c>
      <c r="C5" s="138" t="s">
        <v>83</v>
      </c>
      <c r="D5" s="132" t="s">
        <v>181</v>
      </c>
      <c r="E5" s="133">
        <v>403000000</v>
      </c>
      <c r="F5" s="134">
        <v>3082</v>
      </c>
      <c r="G5" s="135">
        <f t="shared" ref="G5:G11" si="0">INT((E5*F5/10^7))</f>
        <v>124204</v>
      </c>
      <c r="H5" s="136"/>
    </row>
    <row r="6" spans="1:10" ht="29.25" customHeight="1">
      <c r="A6" s="131">
        <v>2</v>
      </c>
      <c r="B6" s="138" t="s">
        <v>314</v>
      </c>
      <c r="C6" s="138" t="s">
        <v>182</v>
      </c>
      <c r="D6" s="132" t="s">
        <v>181</v>
      </c>
      <c r="E6" s="133">
        <v>135000000</v>
      </c>
      <c r="F6" s="134">
        <v>3082</v>
      </c>
      <c r="G6" s="135">
        <f t="shared" si="0"/>
        <v>41607</v>
      </c>
      <c r="H6" s="136"/>
    </row>
    <row r="7" spans="1:10" ht="29.25" customHeight="1">
      <c r="A7" s="131">
        <v>3</v>
      </c>
      <c r="B7" s="138" t="s">
        <v>183</v>
      </c>
      <c r="C7" s="138"/>
      <c r="D7" s="132" t="s">
        <v>181</v>
      </c>
      <c r="E7" s="133">
        <v>13000000</v>
      </c>
      <c r="F7" s="134">
        <v>1476</v>
      </c>
      <c r="G7" s="135">
        <f t="shared" si="0"/>
        <v>1918</v>
      </c>
      <c r="H7" s="136"/>
    </row>
    <row r="8" spans="1:10" ht="29.25" customHeight="1">
      <c r="A8" s="131">
        <v>4</v>
      </c>
      <c r="B8" s="138" t="s">
        <v>184</v>
      </c>
      <c r="C8" s="138" t="s">
        <v>185</v>
      </c>
      <c r="D8" s="132" t="s">
        <v>181</v>
      </c>
      <c r="E8" s="133">
        <v>23650000</v>
      </c>
      <c r="F8" s="134">
        <v>3082</v>
      </c>
      <c r="G8" s="135">
        <f t="shared" si="0"/>
        <v>7288</v>
      </c>
      <c r="H8" s="136"/>
    </row>
    <row r="9" spans="1:10" ht="29.25" customHeight="1">
      <c r="A9" s="131">
        <v>5</v>
      </c>
      <c r="B9" s="138" t="s">
        <v>186</v>
      </c>
      <c r="C9" s="138" t="s">
        <v>187</v>
      </c>
      <c r="D9" s="132" t="s">
        <v>181</v>
      </c>
      <c r="E9" s="133">
        <v>4520000</v>
      </c>
      <c r="F9" s="134">
        <v>5200</v>
      </c>
      <c r="G9" s="135">
        <f t="shared" si="0"/>
        <v>2350</v>
      </c>
      <c r="H9" s="136"/>
    </row>
    <row r="10" spans="1:10" ht="29.25" customHeight="1">
      <c r="A10" s="131">
        <v>6</v>
      </c>
      <c r="B10" s="138" t="s">
        <v>188</v>
      </c>
      <c r="C10" s="138"/>
      <c r="D10" s="132" t="s">
        <v>181</v>
      </c>
      <c r="E10" s="133">
        <v>3100000</v>
      </c>
      <c r="F10" s="134">
        <v>3429</v>
      </c>
      <c r="G10" s="135">
        <f t="shared" si="0"/>
        <v>1062</v>
      </c>
      <c r="H10" s="136"/>
    </row>
    <row r="11" spans="1:10" ht="29.25" customHeight="1">
      <c r="A11" s="131">
        <v>7</v>
      </c>
      <c r="B11" s="138" t="s">
        <v>189</v>
      </c>
      <c r="C11" s="138" t="s">
        <v>190</v>
      </c>
      <c r="D11" s="132" t="s">
        <v>181</v>
      </c>
      <c r="E11" s="133">
        <v>2000000</v>
      </c>
      <c r="F11" s="134">
        <v>2294</v>
      </c>
      <c r="G11" s="135">
        <f t="shared" si="0"/>
        <v>458</v>
      </c>
      <c r="H11" s="136"/>
    </row>
    <row r="12" spans="1:10" ht="29.25" customHeight="1">
      <c r="A12" s="131">
        <v>8</v>
      </c>
      <c r="B12" s="138" t="s">
        <v>360</v>
      </c>
      <c r="C12" s="138" t="s">
        <v>361</v>
      </c>
      <c r="D12" s="132" t="s">
        <v>181</v>
      </c>
      <c r="E12" s="133">
        <v>19844000</v>
      </c>
      <c r="F12" s="134">
        <v>2967</v>
      </c>
      <c r="G12" s="135">
        <f t="shared" ref="G12" si="1">INT((E12*F12/10^7))</f>
        <v>5887</v>
      </c>
      <c r="H12" s="136"/>
    </row>
    <row r="13" spans="1:10" ht="29.25" customHeight="1">
      <c r="A13" s="140" t="s">
        <v>191</v>
      </c>
      <c r="B13" s="140"/>
      <c r="C13" s="142"/>
      <c r="D13" s="143"/>
      <c r="E13" s="144"/>
      <c r="F13" s="144"/>
      <c r="G13" s="145"/>
      <c r="H13" s="146"/>
      <c r="I13" s="147"/>
      <c r="J13" s="141"/>
    </row>
  </sheetData>
  <mergeCells count="2">
    <mergeCell ref="A2:H2"/>
    <mergeCell ref="A1:H1"/>
  </mergeCells>
  <phoneticPr fontId="1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13</vt:i4>
      </vt:variant>
    </vt:vector>
  </HeadingPairs>
  <TitlesOfParts>
    <vt:vector size="30" baseType="lpstr">
      <vt:lpstr>총괄표지</vt:lpstr>
      <vt:lpstr>과업설명서</vt:lpstr>
      <vt:lpstr>총괄내역서</vt:lpstr>
      <vt:lpstr>내역서</vt:lpstr>
      <vt:lpstr>일위대가목록표</vt:lpstr>
      <vt:lpstr>일위대가표</vt:lpstr>
      <vt:lpstr>산출근거</vt:lpstr>
      <vt:lpstr>재료비</vt:lpstr>
      <vt:lpstr>기계경비1</vt:lpstr>
      <vt:lpstr>기계경비2</vt:lpstr>
      <vt:lpstr>지반조사품셈</vt:lpstr>
      <vt:lpstr>성과품</vt:lpstr>
      <vt:lpstr>노임단가</vt:lpstr>
      <vt:lpstr>엔지니어링임금실태조사표</vt:lpstr>
      <vt:lpstr>손해배상공제료_계약</vt:lpstr>
      <vt:lpstr>손해배상공제료</vt:lpstr>
      <vt:lpstr>견적</vt:lpstr>
      <vt:lpstr>견적!Print_Area</vt:lpstr>
      <vt:lpstr>기계경비2!Print_Area</vt:lpstr>
      <vt:lpstr>내역서!Print_Area</vt:lpstr>
      <vt:lpstr>노임단가!Print_Area</vt:lpstr>
      <vt:lpstr>산출근거!Print_Area</vt:lpstr>
      <vt:lpstr>엔지니어링임금실태조사표!Print_Area</vt:lpstr>
      <vt:lpstr>일위대가목록표!Print_Area</vt:lpstr>
      <vt:lpstr>재료비!Print_Area</vt:lpstr>
      <vt:lpstr>지반조사품셈!Print_Area</vt:lpstr>
      <vt:lpstr>총괄표지!Print_Area</vt:lpstr>
      <vt:lpstr>기계경비2!Print_Titles</vt:lpstr>
      <vt:lpstr>일위대가표!Print_Titles</vt:lpstr>
      <vt:lpstr>지반조사품셈!Print_Titles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2026-03-31T00:35:39Z</cp:lastPrinted>
  <dcterms:created xsi:type="dcterms:W3CDTF">2021-04-21T04:41:03Z</dcterms:created>
  <dcterms:modified xsi:type="dcterms:W3CDTF">2026-06-01T00:31:14Z</dcterms:modified>
  <cp:category/>
  <cp:contentStatus/>
</cp:coreProperties>
</file>